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<sst xmlns="http://schemas.openxmlformats.org/spreadsheetml/2006/main" count="54" uniqueCount="54">
  <si>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</si>
  <si>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</si>
  <si>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</si>
  <si>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</si>
  <si>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</si>
  <si>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</si>
  <si>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</si>
  <si>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</si>
  <si>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</si>
  <si>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</si>
  <si>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</si>
  <si>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</si>
  <si>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</si>
  <si>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</si>
  <si>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Ремонт лавочек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</si>
  <si>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</si>
  <si>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</si>
  <si>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</si>
  <si>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</si>
  <si>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</si>
  <si>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</si>
  <si>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</si>
  <si>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</si>
  <si>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</si>
  <si>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</si>
  <si>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Поверка общедомовых приборов учета (воды)</t>
  </si>
  <si>
    <t>подвал</t>
  </si>
  <si>
    <t>Осмотр внутриквартийных устройств центрального отопления в квартире</t>
  </si>
  <si>
    <t>Осмотр линий электрических сетей, арматуры и электрооборудования в квартире</t>
  </si>
  <si>
    <t>Адрес дома: ЛЕНИНА ПР., 112</t>
  </si>
  <si>
    <t>Смена патронов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</si>
  <si>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</si>
  <si>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</si>
  <si>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</si>
  <si>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</si>
  <si>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</si>
  <si>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задвижек диаметром: 50 мм</t>
  </si>
  <si>
    <t>Смена вентилей и клапанов обратных муфтовых диаметром: 25 мм</t>
  </si>
  <si>
    <t>Замена светодиодных прожекторов</t>
  </si>
  <si>
    <t>Прокладка кабеля АВВГ 2*2,5</t>
  </si>
  <si>
    <t>Ремонт м/п швов, кв.67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</si>
  <si>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</si>
  <si>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</si>
  <si>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</si>
  <si>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</si>
  <si>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</si>
  <si>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</si>
  <si>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Утепление м/п швов кв.79</t>
  </si>
  <si>
    <t>Смена ламп: светодиодных</t>
  </si>
  <si>
    <t>Замена датчиков движения</t>
  </si>
  <si>
    <t>Установка светильников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</si>
  <si>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</si>
  <si>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держателей для предохранителей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</si>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</sst>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9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center" wrapText="1"/>
    </xf>
    <xf numFmtId="0" fontId="0" fillId="35" borderId="0" xfId="0" applyFill="1" applyAlignment="1">
      <alignment wrapText="1"/>
    </xf>
    <xf numFmtId="0" fontId="39" fillId="0" borderId="0" xfId="0" applyFont="1" applyAlignment="1">
      <alignment wrapText="1"/>
    </xf>
    <xf numFmtId="2" fontId="0" fillId="35" borderId="0" xfId="0" applyNumberFormat="1" applyFill="1" applyAlignment="1">
      <alignment wrapText="1"/>
    </xf>
    <xf numFmtId="4" fontId="27" fillId="35" borderId="0" xfId="0" applyNumberFormat="1" applyFont="1" applyFill="1" applyAlignment="1">
      <alignment wrapText="1"/>
    </xf>
    <xf numFmtId="0" fontId="29" fillId="35" borderId="0" xfId="45" applyFill="1" applyAlignment="1" quotePrefix="1">
      <alignment horizontal="right" vertical="top" wrapText="1"/>
      <protection/>
    </xf>
    <xf numFmtId="4" fontId="29" fillId="35" borderId="11" xfId="39" applyNumberFormat="1" applyFill="1" applyBorder="1" applyAlignment="1" quotePrefix="1">
      <alignment vertical="top" wrapText="1"/>
      <protection/>
    </xf>
    <xf numFmtId="0" fontId="0" fillId="35" borderId="0" xfId="0" applyFill="1" applyBorder="1" applyAlignment="1">
      <alignment wrapText="1"/>
    </xf>
    <xf numFmtId="4" fontId="29" fillId="35" borderId="0" xfId="39" applyNumberFormat="1" applyFill="1" applyBorder="1" applyAlignment="1" quotePrefix="1">
      <alignment vertical="top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30" fillId="35" borderId="12" xfId="42" applyNumberFormat="1" applyFill="1" applyBorder="1" applyAlignment="1" quotePrefix="1">
      <alignment horizontal="right" vertical="center" wrapText="1"/>
      <protection/>
    </xf>
    <xf numFmtId="0" fontId="39" fillId="0" borderId="0" xfId="0" applyFont="1" applyFill="1" applyAlignment="1">
      <alignment wrapText="1"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4" fontId="49" fillId="35" borderId="1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6" fillId="0" borderId="0" xfId="0" applyFont="1" applyFill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4" fontId="30" fillId="35" borderId="12" xfId="42" applyNumberForma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30" fillId="35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43" fontId="2" fillId="0" borderId="12" xfId="42" applyNumberFormat="1" applyFont="1" applyFill="1" applyBorder="1" applyAlignment="1" quotePrefix="1">
      <alignment horizontal="right" vertical="center" wrapText="1"/>
      <protection/>
    </xf>
    <xf numFmtId="2" fontId="2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0" fontId="30" fillId="0" borderId="13" xfId="43" applyFont="1" applyFill="1" applyBorder="1" applyAlignment="1" quotePrefix="1">
      <alignment horizontal="left" vertical="top" wrapText="1"/>
      <protection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2" fillId="0" borderId="12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1" xfId="43" applyFont="1" applyFill="1" applyBorder="1" applyAlignment="1" quotePrefix="1">
      <alignment horizontal="left" vertical="top" wrapText="1"/>
      <protection/>
    </xf>
    <xf numFmtId="0" fontId="30" fillId="35" borderId="17" xfId="37" applyFill="1" applyBorder="1" applyAlignment="1" quotePrefix="1">
      <alignment horizontal="left" vertical="top" wrapText="1"/>
      <protection/>
    </xf>
    <xf numFmtId="0" fontId="30" fillId="35" borderId="18" xfId="37" applyFill="1" applyBorder="1" applyAlignment="1" quotePrefix="1">
      <alignment horizontal="left" vertical="top" wrapText="1"/>
      <protection/>
    </xf>
    <xf numFmtId="0" fontId="30" fillId="35" borderId="19" xfId="37" applyFill="1" applyBorder="1" applyAlignment="1" quotePrefix="1">
      <alignment horizontal="left" vertical="top" wrapText="1"/>
      <protection/>
    </xf>
    <xf numFmtId="0" fontId="30" fillId="35" borderId="20" xfId="43" applyFill="1" applyBorder="1" applyAlignment="1" quotePrefix="1">
      <alignment horizontal="left" vertical="top" wrapText="1"/>
      <protection/>
    </xf>
    <xf numFmtId="0" fontId="30" fillId="35" borderId="21" xfId="43" applyFill="1" applyBorder="1" applyAlignment="1" quotePrefix="1">
      <alignment horizontal="left" vertical="top" wrapText="1"/>
      <protection/>
    </xf>
    <xf numFmtId="0" fontId="30" fillId="35" borderId="22" xfId="43" applyFill="1" applyBorder="1" applyAlignment="1" quotePrefix="1">
      <alignment horizontal="left" vertical="top" wrapText="1"/>
      <protection/>
    </xf>
    <xf numFmtId="0" fontId="30" fillId="0" borderId="23" xfId="43" applyFont="1" applyFill="1" applyBorder="1" applyAlignment="1" quotePrefix="1">
      <alignment horizontal="left" vertical="top" wrapText="1"/>
      <protection/>
    </xf>
    <xf numFmtId="0" fontId="2" fillId="0" borderId="12" xfId="37" applyFont="1" applyFill="1" applyBorder="1" applyAlignment="1" quotePrefix="1">
      <alignment horizontal="left" vertical="top" wrapText="1"/>
      <protection/>
    </xf>
    <xf numFmtId="0" fontId="30" fillId="35" borderId="15" xfId="43" applyFill="1" applyBorder="1" applyAlignment="1" quotePrefix="1">
      <alignment horizontal="left" vertical="top" wrapText="1"/>
      <protection/>
    </xf>
    <xf numFmtId="0" fontId="30" fillId="35" borderId="24" xfId="43" applyFill="1" applyBorder="1" applyAlignment="1" quotePrefix="1">
      <alignment horizontal="left" vertical="top" wrapText="1"/>
      <protection/>
    </xf>
    <xf numFmtId="0" fontId="30" fillId="35" borderId="25" xfId="43" applyFill="1" applyBorder="1" applyAlignment="1" quotePrefix="1">
      <alignment horizontal="left" vertical="top" wrapText="1"/>
      <protection/>
    </xf>
    <xf numFmtId="0" fontId="30" fillId="35" borderId="13" xfId="43" applyFill="1" applyBorder="1" applyAlignment="1" quotePrefix="1">
      <alignment horizontal="left" vertical="top" wrapText="1"/>
      <protection/>
    </xf>
    <xf numFmtId="0" fontId="30" fillId="35" borderId="14" xfId="43" applyFill="1" applyBorder="1" applyAlignment="1" quotePrefix="1">
      <alignment horizontal="left" vertical="top" wrapText="1"/>
      <protection/>
    </xf>
    <xf numFmtId="0" fontId="30" fillId="35" borderId="26" xfId="43" applyFill="1" applyBorder="1" applyAlignment="1" quotePrefix="1">
      <alignment horizontal="left" vertical="top" wrapText="1"/>
      <protection/>
    </xf>
    <xf numFmtId="0" fontId="30" fillId="35" borderId="27" xfId="43" applyFill="1" applyBorder="1" applyAlignment="1" quotePrefix="1">
      <alignment horizontal="left" vertical="top" wrapText="1"/>
      <protection/>
    </xf>
    <xf numFmtId="0" fontId="30" fillId="35" borderId="28" xfId="43" applyFill="1" applyBorder="1" applyAlignment="1" quotePrefix="1">
      <alignment horizontal="left" vertical="top" wrapText="1"/>
      <protection/>
    </xf>
    <xf numFmtId="0" fontId="30" fillId="35" borderId="29" xfId="43" applyFill="1" applyBorder="1" applyAlignment="1" quotePrefix="1">
      <alignment horizontal="left" vertical="top" wrapText="1"/>
      <protection/>
    </xf>
    <xf numFmtId="0" fontId="30" fillId="35" borderId="30" xfId="43" applyFill="1" applyBorder="1" applyAlignment="1" quotePrefix="1">
      <alignment horizontal="left" vertical="top" wrapText="1"/>
      <protection/>
    </xf>
    <xf numFmtId="0" fontId="30" fillId="35" borderId="31" xfId="43" applyFill="1" applyBorder="1" applyAlignment="1" quotePrefix="1">
      <alignment horizontal="left" vertical="top" wrapText="1"/>
      <protection/>
    </xf>
    <xf numFmtId="0" fontId="30" fillId="0" borderId="32" xfId="43" applyFont="1" applyFill="1" applyBorder="1" applyAlignment="1" quotePrefix="1">
      <alignment horizontal="left" vertical="top" wrapText="1"/>
      <protection/>
    </xf>
    <xf numFmtId="0" fontId="30" fillId="0" borderId="33" xfId="43" applyFont="1" applyFill="1" applyBorder="1" applyAlignment="1" quotePrefix="1">
      <alignment horizontal="left" vertical="top" wrapText="1"/>
      <protection/>
    </xf>
    <xf numFmtId="4" fontId="29" fillId="35" borderId="33" xfId="46" applyNumberFormat="1" applyFill="1" applyBorder="1" applyAlignment="1" quotePrefix="1">
      <alignment horizontal="right" vertical="top" wrapText="1"/>
      <protection/>
    </xf>
    <xf numFmtId="4" fontId="30" fillId="35" borderId="34" xfId="42" applyNumberFormat="1" applyFill="1" applyBorder="1" applyAlignment="1" quotePrefix="1">
      <alignment horizontal="right" vertical="center" wrapText="1"/>
      <protection/>
    </xf>
    <xf numFmtId="4" fontId="30" fillId="35" borderId="35" xfId="42" applyNumberFormat="1" applyFill="1" applyBorder="1" applyAlignment="1" quotePrefix="1">
      <alignment horizontal="right" vertical="center" wrapText="1"/>
      <protection/>
    </xf>
    <xf numFmtId="0" fontId="30" fillId="35" borderId="36" xfId="43" applyFont="1" applyFill="1" applyBorder="1" applyAlignment="1" quotePrefix="1">
      <alignment horizontal="left" vertical="top" wrapText="1"/>
      <protection/>
    </xf>
    <xf numFmtId="0" fontId="30" fillId="35" borderId="33" xfId="43" applyFont="1" applyFill="1" applyBorder="1" applyAlignment="1" quotePrefix="1">
      <alignment horizontal="left" vertical="top" wrapText="1"/>
      <protection/>
    </xf>
    <xf numFmtId="0" fontId="30" fillId="35" borderId="37" xfId="43" applyFill="1" applyBorder="1" applyAlignment="1" quotePrefix="1">
      <alignment horizontal="left" vertical="top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35" borderId="11" xfId="34" applyFill="1" applyBorder="1" applyAlignment="1" quotePrefix="1">
      <alignment horizontal="left" vertical="center" wrapText="1"/>
      <protection/>
    </xf>
    <xf numFmtId="4" fontId="29" fillId="35" borderId="0" xfId="39" applyNumberFormat="1" applyFill="1" applyAlignment="1" quotePrefix="1">
      <alignment horizontal="right" vertical="top" wrapText="1"/>
      <protection/>
    </xf>
    <xf numFmtId="0" fontId="30" fillId="36" borderId="32" xfId="40" applyFill="1" applyBorder="1" applyAlignment="1" quotePrefix="1">
      <alignment horizontal="left" vertical="center" wrapText="1"/>
      <protection/>
    </xf>
    <xf numFmtId="0" fontId="30" fillId="36" borderId="33" xfId="40" applyFill="1" applyBorder="1" applyAlignment="1" quotePrefix="1">
      <alignment horizontal="left" vertical="center" wrapText="1"/>
      <protection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21" xfId="43" applyFont="1" applyFill="1" applyBorder="1" applyAlignment="1" quotePrefix="1">
      <alignment horizontal="left" vertical="top" wrapText="1"/>
      <protection/>
    </xf>
    <xf numFmtId="0" fontId="0" fillId="37" borderId="12" xfId="0" applyFill="1" applyBorder="1" applyAlignment="1">
      <alignment horizontal="center" wrapText="1"/>
    </xf>
    <xf numFmtId="0" fontId="28" fillId="35" borderId="0" xfId="33" applyFill="1" applyAlignment="1" quotePrefix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43">
          <cell r="J643">
            <v>10053.132298840512</v>
          </cell>
        </row>
        <row r="699">
          <cell r="J699">
            <v>1392.239787079781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74">
          <cell r="J974">
            <v>672.1700975325577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39">
            <v>691507.08</v>
          </cell>
          <cell r="C39">
            <v>675306.74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10" zoomScaleNormal="110" workbookViewId="0" topLeftCell="A1">
      <selection activeCell="C49" sqref="C49"/>
    </sheetView>
  </sheetViews>
  <sheetFormatPr defaultColWidth="9.140625" defaultRowHeight="15"/>
  <cols>
    <col min="1" max="1" width="2.140625" style="3" customWidth="1"/>
    <col min="2" max="2" width="6.8515625" style="3" customWidth="1"/>
    <col min="3" max="3" width="32.57421875" style="3" customWidth="1"/>
    <col min="4" max="4" width="33.00390625" style="3" customWidth="1"/>
    <col min="5" max="5" width="12.140625" style="3" customWidth="1"/>
    <col min="6" max="6" width="13.8515625" style="3" customWidth="1"/>
    <col min="7" max="7" width="3.7109375" style="3" customWidth="1"/>
    <col min="8" max="9" width="11.57421875" style="3" bestFit="1" customWidth="1"/>
    <col min="10" max="16384" width="9.140625" style="3" customWidth="1"/>
  </cols>
  <sheetData>
    <row r="1" spans="1:7" s="12" customFormat="1" ht="24" customHeight="1">
      <c r="A1" s="80" t="s">
        <v>33</v>
      </c>
      <c r="B1" s="80"/>
      <c r="C1" s="80"/>
      <c r="D1" s="80"/>
      <c r="E1" s="80"/>
      <c r="F1" s="80"/>
      <c r="G1" s="80"/>
    </row>
    <row r="2" spans="2:5" s="12" customFormat="1" ht="12" customHeight="1">
      <c r="B2" s="73" t="s">
        <v>0</v>
      </c>
      <c r="C2" s="73"/>
      <c r="D2" s="73"/>
      <c r="E2" s="5"/>
    </row>
    <row r="3" spans="2:12" s="12" customFormat="1" ht="21" customHeight="1">
      <c r="B3" s="71" t="s">
        <v>1</v>
      </c>
      <c r="C3" s="72"/>
      <c r="D3" s="72"/>
      <c r="E3" s="18" t="s">
        <v>46</v>
      </c>
      <c r="H3" s="79" t="s">
        <v>42</v>
      </c>
      <c r="I3" s="79"/>
      <c r="J3" s="79"/>
      <c r="K3" s="79"/>
      <c r="L3" s="79"/>
    </row>
    <row r="4" spans="2:12" s="12" customFormat="1" ht="15" customHeight="1" thickBot="1">
      <c r="B4" s="75" t="s">
        <v>29</v>
      </c>
      <c r="C4" s="76"/>
      <c r="D4" s="76"/>
      <c r="E4" s="76"/>
      <c r="H4" s="19" t="s">
        <v>15</v>
      </c>
      <c r="I4" s="19" t="s">
        <v>43</v>
      </c>
      <c r="J4" s="19" t="s">
        <v>26</v>
      </c>
      <c r="K4" s="19" t="s">
        <v>44</v>
      </c>
      <c r="L4" s="19" t="s">
        <v>45</v>
      </c>
    </row>
    <row r="5" spans="2:12" s="12" customFormat="1" ht="24.75" customHeight="1" thickBot="1">
      <c r="B5" s="55" t="s">
        <v>21</v>
      </c>
      <c r="C5" s="56"/>
      <c r="D5" s="70"/>
      <c r="E5" s="14">
        <f>2.05*J5*12+J5*2*2.05+2.05*4*J5</f>
        <v>32503.734</v>
      </c>
      <c r="H5" s="1">
        <v>80</v>
      </c>
      <c r="I5" s="1">
        <v>3567.8</v>
      </c>
      <c r="J5" s="1">
        <v>880.86</v>
      </c>
      <c r="K5" s="1">
        <f>J5</f>
        <v>880.86</v>
      </c>
      <c r="L5" s="2">
        <v>56</v>
      </c>
    </row>
    <row r="6" spans="2:5" s="12" customFormat="1" ht="36" customHeight="1">
      <c r="B6" s="55" t="s">
        <v>16</v>
      </c>
      <c r="C6" s="56"/>
      <c r="D6" s="70"/>
      <c r="E6" s="14">
        <f>(I5*2.05*2)</f>
        <v>14627.98</v>
      </c>
    </row>
    <row r="7" spans="2:5" s="12" customFormat="1" ht="12" customHeight="1">
      <c r="B7" s="55" t="s">
        <v>17</v>
      </c>
      <c r="C7" s="56"/>
      <c r="D7" s="70"/>
      <c r="E7" s="14">
        <f>I5*2.05*2</f>
        <v>14627.98</v>
      </c>
    </row>
    <row r="8" spans="2:5" s="12" customFormat="1" ht="12" customHeight="1" hidden="1">
      <c r="B8" s="55" t="s">
        <v>18</v>
      </c>
      <c r="C8" s="56"/>
      <c r="D8" s="70"/>
      <c r="E8" s="14"/>
    </row>
    <row r="9" spans="2:5" s="12" customFormat="1" ht="26.25" customHeight="1">
      <c r="B9" s="55" t="s">
        <v>19</v>
      </c>
      <c r="C9" s="56"/>
      <c r="D9" s="70"/>
      <c r="E9" s="14">
        <f>(3*121.53*2*I5/1000)*3</f>
        <v>7804.705212000002</v>
      </c>
    </row>
    <row r="10" spans="2:5" s="12" customFormat="1" ht="15">
      <c r="B10" s="55" t="s">
        <v>8</v>
      </c>
      <c r="C10" s="56"/>
      <c r="D10" s="70"/>
      <c r="E10" s="14">
        <f>12*I5*0.83</f>
        <v>35535.288</v>
      </c>
    </row>
    <row r="11" spans="2:5" s="12" customFormat="1" ht="12" customHeight="1">
      <c r="B11" s="55" t="s">
        <v>10</v>
      </c>
      <c r="C11" s="56"/>
      <c r="D11" s="70"/>
      <c r="E11" s="14">
        <f>12*I5*6.05</f>
        <v>259022.28000000003</v>
      </c>
    </row>
    <row r="12" spans="2:5" s="12" customFormat="1" ht="12" customHeight="1">
      <c r="B12" s="55" t="s">
        <v>11</v>
      </c>
      <c r="C12" s="56"/>
      <c r="D12" s="70"/>
      <c r="E12" s="14">
        <f>1*L5*286.7*2</f>
        <v>32110.399999999998</v>
      </c>
    </row>
    <row r="13" spans="1:12" s="12" customFormat="1" ht="12" customHeight="1">
      <c r="A13" s="3"/>
      <c r="B13" s="55" t="s">
        <v>9</v>
      </c>
      <c r="C13" s="56"/>
      <c r="D13" s="70"/>
      <c r="E13" s="14">
        <f>12*I5*0.54</f>
        <v>23119.344000000005</v>
      </c>
      <c r="F13" s="3"/>
      <c r="G13" s="3"/>
      <c r="H13" s="3"/>
      <c r="I13" s="3"/>
      <c r="J13" s="3"/>
      <c r="K13" s="3"/>
      <c r="L13" s="3"/>
    </row>
    <row r="14" spans="1:12" s="12" customFormat="1" ht="12" customHeight="1">
      <c r="A14" s="3"/>
      <c r="B14" s="44" t="s">
        <v>13</v>
      </c>
      <c r="C14" s="45"/>
      <c r="D14" s="46"/>
      <c r="E14" s="14">
        <v>20000</v>
      </c>
      <c r="F14" s="3"/>
      <c r="G14" s="3"/>
      <c r="H14" s="3"/>
      <c r="I14" s="3"/>
      <c r="J14" s="3"/>
      <c r="K14" s="3"/>
      <c r="L14" s="3"/>
    </row>
    <row r="15" spans="1:12" s="12" customFormat="1" ht="6" customHeight="1">
      <c r="A15" s="3"/>
      <c r="B15" s="57" t="s">
        <v>12</v>
      </c>
      <c r="C15" s="58"/>
      <c r="D15" s="59"/>
      <c r="E15" s="66">
        <f>12*I5*0.64</f>
        <v>27400.704000000005</v>
      </c>
      <c r="F15" s="3"/>
      <c r="G15" s="3"/>
      <c r="H15" s="3"/>
      <c r="I15" s="3"/>
      <c r="J15" s="3"/>
      <c r="K15" s="3"/>
      <c r="L15" s="3"/>
    </row>
    <row r="16" spans="1:12" s="12" customFormat="1" ht="6" customHeight="1">
      <c r="A16" s="3"/>
      <c r="B16" s="60"/>
      <c r="C16" s="61"/>
      <c r="D16" s="62"/>
      <c r="E16" s="67"/>
      <c r="F16" s="3"/>
      <c r="G16" s="3"/>
      <c r="H16" s="3"/>
      <c r="I16" s="3"/>
      <c r="J16" s="3"/>
      <c r="K16" s="3"/>
      <c r="L16" s="3"/>
    </row>
    <row r="17" spans="1:12" s="12" customFormat="1" ht="6" customHeight="1">
      <c r="A17" s="3"/>
      <c r="B17" s="57" t="s">
        <v>20</v>
      </c>
      <c r="C17" s="58"/>
      <c r="D17" s="59"/>
      <c r="E17" s="66">
        <f>12*I5*1.88</f>
        <v>80489.568</v>
      </c>
      <c r="F17" s="3"/>
      <c r="G17" s="3"/>
      <c r="H17" s="3"/>
      <c r="I17" s="3"/>
      <c r="J17" s="3"/>
      <c r="K17" s="3"/>
      <c r="L17" s="3"/>
    </row>
    <row r="18" spans="1:12" s="12" customFormat="1" ht="6" customHeight="1">
      <c r="A18" s="3"/>
      <c r="B18" s="60"/>
      <c r="C18" s="61"/>
      <c r="D18" s="62"/>
      <c r="E18" s="67"/>
      <c r="F18" s="3"/>
      <c r="G18" s="3"/>
      <c r="H18" s="3"/>
      <c r="I18" s="3"/>
      <c r="J18" s="3"/>
      <c r="K18" s="3"/>
      <c r="L18" s="3"/>
    </row>
    <row r="19" spans="2:5" s="28" customFormat="1" ht="12" customHeight="1">
      <c r="B19" s="52" t="s">
        <v>25</v>
      </c>
      <c r="C19" s="53"/>
      <c r="D19" s="54"/>
      <c r="E19" s="29">
        <v>2100</v>
      </c>
    </row>
    <row r="20" spans="1:12" s="12" customFormat="1" ht="12" customHeight="1">
      <c r="A20" s="3"/>
      <c r="B20" s="52" t="s">
        <v>22</v>
      </c>
      <c r="C20" s="53"/>
      <c r="D20" s="54"/>
      <c r="E20" s="14">
        <f>12*I5*0.37</f>
        <v>15841.032000000001</v>
      </c>
      <c r="F20" s="3"/>
      <c r="G20" s="3"/>
      <c r="H20" s="3"/>
      <c r="I20" s="3"/>
      <c r="J20" s="3"/>
      <c r="K20" s="3"/>
      <c r="L20" s="3"/>
    </row>
    <row r="21" spans="1:12" s="12" customFormat="1" ht="12" customHeight="1">
      <c r="A21" s="3"/>
      <c r="B21" s="52" t="s">
        <v>23</v>
      </c>
      <c r="C21" s="53"/>
      <c r="D21" s="54"/>
      <c r="E21" s="14">
        <f>H5*2*70%*2*137.35*0.38</f>
        <v>11691.232</v>
      </c>
      <c r="F21" s="3"/>
      <c r="G21" s="3"/>
      <c r="H21" s="3"/>
      <c r="I21" s="3"/>
      <c r="J21" s="3"/>
      <c r="K21" s="3"/>
      <c r="L21" s="3"/>
    </row>
    <row r="22" spans="1:12" s="12" customFormat="1" ht="12" customHeight="1">
      <c r="A22" s="3"/>
      <c r="B22" s="47" t="s">
        <v>24</v>
      </c>
      <c r="C22" s="48"/>
      <c r="D22" s="49"/>
      <c r="E22" s="14">
        <f>H5*70%*2*137.35*0.38</f>
        <v>5845.616</v>
      </c>
      <c r="F22" s="3"/>
      <c r="G22" s="3"/>
      <c r="H22" s="3"/>
      <c r="I22" s="3"/>
      <c r="J22" s="3"/>
      <c r="K22" s="3"/>
      <c r="L22" s="3"/>
    </row>
    <row r="23" spans="1:12" s="12" customFormat="1" ht="12" customHeight="1">
      <c r="A23" s="3"/>
      <c r="B23" s="55" t="s">
        <v>27</v>
      </c>
      <c r="C23" s="56"/>
      <c r="D23" s="56"/>
      <c r="E23" s="16">
        <f>68.68*22</f>
        <v>1510.96</v>
      </c>
      <c r="F23" s="30"/>
      <c r="G23" s="30"/>
      <c r="H23" s="30"/>
      <c r="I23" s="30"/>
      <c r="J23" s="3"/>
      <c r="K23" s="3"/>
      <c r="L23" s="3"/>
    </row>
    <row r="24" spans="1:12" s="12" customFormat="1" ht="12" customHeight="1">
      <c r="A24" s="3"/>
      <c r="B24" s="55" t="s">
        <v>2</v>
      </c>
      <c r="C24" s="56"/>
      <c r="D24" s="56"/>
      <c r="E24" s="16">
        <f>68.68*41</f>
        <v>2815.88</v>
      </c>
      <c r="F24" s="30"/>
      <c r="G24" s="30"/>
      <c r="H24" s="30"/>
      <c r="I24" s="30"/>
      <c r="J24" s="3"/>
      <c r="K24" s="3"/>
      <c r="L24" s="3"/>
    </row>
    <row r="25" spans="1:12" s="12" customFormat="1" ht="12.75" customHeight="1">
      <c r="A25" s="3"/>
      <c r="B25" s="68" t="s">
        <v>28</v>
      </c>
      <c r="C25" s="69"/>
      <c r="D25" s="69"/>
      <c r="E25" s="31">
        <f>68.68*34</f>
        <v>2335.1200000000003</v>
      </c>
      <c r="F25" s="30"/>
      <c r="G25" s="30"/>
      <c r="H25" s="30"/>
      <c r="I25" s="30"/>
      <c r="J25" s="3"/>
      <c r="K25" s="3"/>
      <c r="L25" s="3"/>
    </row>
    <row r="26" spans="2:5" s="24" customFormat="1" ht="12.75" customHeight="1">
      <c r="B26" s="51" t="s">
        <v>31</v>
      </c>
      <c r="C26" s="51"/>
      <c r="D26" s="51"/>
      <c r="E26" s="33">
        <f>'[2]на июль 15г'!$J$974*1</f>
        <v>672.1700975325577</v>
      </c>
    </row>
    <row r="27" spans="2:5" s="35" customFormat="1" ht="12" customHeight="1">
      <c r="B27" s="36" t="s">
        <v>53</v>
      </c>
      <c r="C27" s="36"/>
      <c r="D27" s="41"/>
      <c r="E27" s="26">
        <f>'[2]на июль 15г'!$J$333*2</f>
        <v>1911.3523865643663</v>
      </c>
    </row>
    <row r="28" spans="2:5" s="35" customFormat="1" ht="12" customHeight="1">
      <c r="B28" s="36" t="s">
        <v>52</v>
      </c>
      <c r="C28" s="37"/>
      <c r="D28" s="37"/>
      <c r="E28" s="25">
        <f>214.6*2</f>
        <v>429.2</v>
      </c>
    </row>
    <row r="29" spans="2:5" s="35" customFormat="1" ht="12.75" customHeight="1">
      <c r="B29" s="36" t="s">
        <v>50</v>
      </c>
      <c r="C29" s="36"/>
      <c r="D29" s="36"/>
      <c r="E29" s="27">
        <f>2*'[2]на июль 15г'!$J$988</f>
        <v>1505.940356972894</v>
      </c>
    </row>
    <row r="30" spans="2:5" s="35" customFormat="1" ht="12" customHeight="1">
      <c r="B30" s="77" t="s">
        <v>38</v>
      </c>
      <c r="C30" s="78"/>
      <c r="D30" s="78"/>
      <c r="E30" s="26">
        <f>1*'[1]на июль 15г'!$J$238</f>
        <v>5104.102046353025</v>
      </c>
    </row>
    <row r="31" spans="2:5" s="35" customFormat="1" ht="12" customHeight="1">
      <c r="B31" s="38" t="s">
        <v>49</v>
      </c>
      <c r="C31" s="39"/>
      <c r="D31" s="39"/>
      <c r="E31" s="26">
        <f>2*'[1]на июль 15г'!$J$277</f>
        <v>1671.000241472425</v>
      </c>
    </row>
    <row r="32" spans="2:5" s="24" customFormat="1" ht="12" customHeight="1">
      <c r="B32" s="40" t="s">
        <v>39</v>
      </c>
      <c r="C32" s="40"/>
      <c r="D32" s="40"/>
      <c r="E32" s="34">
        <f>57*'[4]на июль 15г'!$J$1057</f>
        <v>6525.5299054611205</v>
      </c>
    </row>
    <row r="33" spans="2:5" s="35" customFormat="1" ht="14.25" customHeight="1">
      <c r="B33" s="50" t="s">
        <v>51</v>
      </c>
      <c r="C33" s="39"/>
      <c r="D33" s="39"/>
      <c r="E33" s="26">
        <f>16*'[1]на июль 15г'!$J$198</f>
        <v>2632.1287079602607</v>
      </c>
    </row>
    <row r="34" spans="2:5" s="35" customFormat="1" ht="12" customHeight="1">
      <c r="B34" s="38" t="s">
        <v>30</v>
      </c>
      <c r="C34" s="39"/>
      <c r="D34" s="39"/>
      <c r="E34" s="26">
        <f>2*'[1]на июль 15г'!$J$323</f>
        <v>199.95098965020944</v>
      </c>
    </row>
    <row r="35" spans="2:5" s="35" customFormat="1" ht="14.25" customHeight="1">
      <c r="B35" s="38" t="s">
        <v>4</v>
      </c>
      <c r="C35" s="39"/>
      <c r="D35" s="39"/>
      <c r="E35" s="26">
        <f>5*'[1]на июль 15г'!$J$211</f>
        <v>288.05015764826425</v>
      </c>
    </row>
    <row r="36" spans="2:5" s="35" customFormat="1" ht="14.25" customHeight="1">
      <c r="B36" s="38" t="s">
        <v>48</v>
      </c>
      <c r="C36" s="39"/>
      <c r="D36" s="39"/>
      <c r="E36" s="26">
        <f>39*'[1]на июль 15г'!$J$211</f>
        <v>2246.7912296564614</v>
      </c>
    </row>
    <row r="37" spans="2:5" s="35" customFormat="1" ht="12" customHeight="1">
      <c r="B37" s="50" t="s">
        <v>3</v>
      </c>
      <c r="C37" s="39"/>
      <c r="D37" s="39"/>
      <c r="E37" s="26">
        <f>1*'[1]на июль 15г'!$J$264</f>
        <v>70.89432176238583</v>
      </c>
    </row>
    <row r="38" spans="2:9" s="21" customFormat="1" ht="25.5" customHeight="1">
      <c r="B38" s="36" t="s">
        <v>35</v>
      </c>
      <c r="C38" s="36"/>
      <c r="D38" s="41"/>
      <c r="E38" s="26">
        <f>3*'[1]на июль 15г'!$J$565</f>
        <v>1525.755043003915</v>
      </c>
      <c r="F38" s="30"/>
      <c r="G38" s="30"/>
      <c r="H38" s="30"/>
      <c r="I38" s="30"/>
    </row>
    <row r="39" spans="2:9" s="21" customFormat="1" ht="12" customHeight="1">
      <c r="B39" s="42" t="s">
        <v>34</v>
      </c>
      <c r="C39" s="43"/>
      <c r="D39" s="43"/>
      <c r="E39" s="26">
        <f>3*'[1]на июль 15г'!$J$535</f>
        <v>1190.1585117023708</v>
      </c>
      <c r="F39" s="30"/>
      <c r="G39" s="30"/>
      <c r="H39" s="30"/>
      <c r="I39" s="30"/>
    </row>
    <row r="40" spans="2:9" s="23" customFormat="1" ht="12" customHeight="1">
      <c r="B40" s="36" t="s">
        <v>37</v>
      </c>
      <c r="C40" s="36"/>
      <c r="D40" s="41"/>
      <c r="E40" s="27">
        <f>4*'[1]на июль 15г'!$J$699</f>
        <v>5568.959148319124</v>
      </c>
      <c r="F40" s="30"/>
      <c r="G40" s="30"/>
      <c r="H40" s="30"/>
      <c r="I40" s="30"/>
    </row>
    <row r="41" spans="2:9" s="22" customFormat="1" ht="12" customHeight="1">
      <c r="B41" s="36" t="s">
        <v>36</v>
      </c>
      <c r="C41" s="36"/>
      <c r="D41" s="41"/>
      <c r="E41" s="27">
        <f>1*'[1]на июль 15г'!$J$643</f>
        <v>10053.132298840512</v>
      </c>
      <c r="F41" s="30"/>
      <c r="G41" s="30"/>
      <c r="H41" s="30"/>
      <c r="I41" s="30"/>
    </row>
    <row r="42" spans="2:5" s="32" customFormat="1" ht="12.75" customHeight="1">
      <c r="B42" s="36" t="s">
        <v>7</v>
      </c>
      <c r="C42" s="36"/>
      <c r="D42" s="36"/>
      <c r="E42" s="25">
        <f>2201.44+550.57+2000</f>
        <v>4752.01</v>
      </c>
    </row>
    <row r="43" spans="2:9" s="12" customFormat="1" ht="12" customHeight="1">
      <c r="B43" s="50" t="s">
        <v>14</v>
      </c>
      <c r="C43" s="39"/>
      <c r="D43" s="39"/>
      <c r="E43" s="26">
        <f>89.8+112</f>
        <v>201.8</v>
      </c>
      <c r="F43" s="30"/>
      <c r="G43" s="30"/>
      <c r="H43" s="30"/>
      <c r="I43" s="30"/>
    </row>
    <row r="44" spans="2:9" s="4" customFormat="1" ht="12" customHeight="1">
      <c r="B44" s="63" t="s">
        <v>47</v>
      </c>
      <c r="C44" s="64"/>
      <c r="D44" s="64"/>
      <c r="E44" s="26">
        <f>30753.82</f>
        <v>30753.82</v>
      </c>
      <c r="F44" s="15"/>
      <c r="G44" s="15"/>
      <c r="H44" s="15"/>
      <c r="I44" s="15"/>
    </row>
    <row r="45" spans="2:9" s="17" customFormat="1" ht="12" customHeight="1">
      <c r="B45" s="50" t="s">
        <v>40</v>
      </c>
      <c r="C45" s="39"/>
      <c r="D45" s="39"/>
      <c r="E45" s="26">
        <f>15488+9*1936</f>
        <v>32912</v>
      </c>
      <c r="F45" s="30"/>
      <c r="G45" s="30"/>
      <c r="H45" s="30"/>
      <c r="I45" s="30"/>
    </row>
    <row r="46" spans="2:9" s="13" customFormat="1" ht="12" customHeight="1">
      <c r="B46" s="50" t="s">
        <v>6</v>
      </c>
      <c r="C46" s="39"/>
      <c r="D46" s="39"/>
      <c r="E46" s="26">
        <f>12600</f>
        <v>12600</v>
      </c>
      <c r="F46" s="30"/>
      <c r="G46" s="30"/>
      <c r="H46" s="30"/>
      <c r="I46" s="30"/>
    </row>
    <row r="47" s="12" customFormat="1" ht="15">
      <c r="E47" s="6">
        <f>SUM(E5:E46)</f>
        <v>712196.5686548998</v>
      </c>
    </row>
    <row r="48" spans="3:5" s="12" customFormat="1" ht="12" customHeight="1">
      <c r="C48" s="7" t="s">
        <v>32</v>
      </c>
      <c r="D48" s="65">
        <f>'[3]Лист1'!$B$39</f>
        <v>691507.08</v>
      </c>
      <c r="E48" s="65"/>
    </row>
    <row r="49" spans="3:5" s="12" customFormat="1" ht="12" customHeight="1">
      <c r="C49" s="7" t="s">
        <v>5</v>
      </c>
      <c r="D49" s="74">
        <f>'[3]Лист1'!$C$39</f>
        <v>675306.74</v>
      </c>
      <c r="E49" s="74"/>
    </row>
    <row r="50" spans="3:5" s="11" customFormat="1" ht="12" customHeight="1">
      <c r="C50" s="7" t="s">
        <v>41</v>
      </c>
      <c r="D50" s="8"/>
      <c r="E50" s="20">
        <f>E47</f>
        <v>712196.5686548998</v>
      </c>
    </row>
    <row r="51" spans="3:5" s="11" customFormat="1" ht="238.5" customHeight="1">
      <c r="C51" s="7"/>
      <c r="D51" s="10"/>
      <c r="E51" s="9"/>
    </row>
  </sheetData>
  <sheetProtection password="CCF3" sheet="1" objects="1" scenarios="1" selectLockedCells="1" selectUnlockedCells="1"/>
  <mergeCells count="49">
    <mergeCell ref="A1:G1"/>
    <mergeCell ref="B35:D35"/>
    <mergeCell ref="B20:D20"/>
    <mergeCell ref="B31:D31"/>
    <mergeCell ref="B19:D19"/>
    <mergeCell ref="D49:E49"/>
    <mergeCell ref="B13:D13"/>
    <mergeCell ref="B4:E4"/>
    <mergeCell ref="B30:D30"/>
    <mergeCell ref="E17:E18"/>
    <mergeCell ref="H3:L3"/>
    <mergeCell ref="B12:D12"/>
    <mergeCell ref="B3:D3"/>
    <mergeCell ref="B5:D5"/>
    <mergeCell ref="B2:D2"/>
    <mergeCell ref="B11:D11"/>
    <mergeCell ref="B10:D10"/>
    <mergeCell ref="B8:D8"/>
    <mergeCell ref="B6:D6"/>
    <mergeCell ref="B9:D9"/>
    <mergeCell ref="D48:E48"/>
    <mergeCell ref="E15:E16"/>
    <mergeCell ref="B24:D24"/>
    <mergeCell ref="B25:D25"/>
    <mergeCell ref="B7:D7"/>
    <mergeCell ref="B17:D18"/>
    <mergeCell ref="B46:D46"/>
    <mergeCell ref="B37:D37"/>
    <mergeCell ref="B41:D41"/>
    <mergeCell ref="B23:D23"/>
    <mergeCell ref="B15:D16"/>
    <mergeCell ref="B44:D44"/>
    <mergeCell ref="B45:D45"/>
    <mergeCell ref="B27:D27"/>
    <mergeCell ref="B14:D14"/>
    <mergeCell ref="B22:D22"/>
    <mergeCell ref="B33:D33"/>
    <mergeCell ref="B26:D26"/>
    <mergeCell ref="B43:D43"/>
    <mergeCell ref="B21:D21"/>
    <mergeCell ref="B42:D42"/>
    <mergeCell ref="B28:D28"/>
    <mergeCell ref="B29:D29"/>
    <mergeCell ref="B36:D36"/>
    <mergeCell ref="B32:D32"/>
    <mergeCell ref="B38:D38"/>
    <mergeCell ref="B39:D39"/>
    <mergeCell ref="B40:D40"/>
    <mergeCell ref="B34:D34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2020-03-27T03:05:46Z</dcterms:modified>
  <cp:category/>
  <cp:version/>
  <cp:contentType/>
  <cp:contentStatus/>
</cp:coreProperties>
</file>