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'Лист'!$A$1:$E$46</definedName>
  </definedNames>
  <calcPr calcMode="autoNoTable" fullCalcOnLoad="1"/>
</workbook>
</file>

<file path=xl/sharedStrings.xml><?xml version="1.0" encoding="utf-8"?>
<sst xmlns="http://schemas.openxmlformats.org/spreadsheetml/2006/main" count="55" uniqueCount="54">
  <si>
    <t>Сгруппированный по операциям</t>
  </si>
  <si>
    <t>Список операций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</si>
  <si>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</si>
  <si>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</si>
  <si>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</si>
  <si>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</si>
  <si>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</si>
  <si>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</si>
  <si>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</si>
  <si>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</si>
  <si>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</si>
  <si>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</si>
  <si>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</si>
  <si>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</si>
  <si>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</si>
  <si>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</si>
  <si>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</si>
  <si>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</si>
  <si>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</si>
  <si>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</si>
  <si>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</si>
  <si>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</si>
  <si>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</si>
  <si>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</si>
  <si>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</si>
  <si>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</si>
  <si>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ГАГАРИНА, 122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</si>
  <si>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</si>
  <si>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</si>
  <si>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</si>
  <si>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</si>
  <si>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</si>
  <si>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</si>
  <si>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</si>
  <si>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патронов</t>
  </si>
  <si>
    <t>Начислено по дому:</t>
  </si>
  <si>
    <t>Отчет о работах, выполненных за период с Января 2019 г. по Декабрь 2019 г.</t>
  </si>
  <si>
    <t>Прокладка кабеля АВВГ 2*2,5</t>
  </si>
  <si>
    <t>Восстановление стекол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</si>
  <si>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</si>
  <si>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</si>
  <si>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</si>
  <si>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</si>
  <si>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</si>
  <si>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</si>
  <si>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Ремонт прямого звена водосточной трубы</t>
  </si>
  <si>
    <t>Смена ламп: светодиодных</t>
  </si>
  <si>
    <t>Замена датчиков движения</t>
  </si>
  <si>
    <t>Установка светильников</t>
  </si>
  <si>
    <t>Установка пружин на тамбурные двери</t>
  </si>
  <si>
    <t>Замена автоматических выключателей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</si>
  <si>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</si>
  <si>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</si>
  <si>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Замена держателей для предохранителя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</si>
</sst>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29" fillId="0" borderId="0" xfId="39" applyNumberFormat="1" applyAlignment="1" quotePrefix="1">
      <alignment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29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9" fillId="35" borderId="0" xfId="0" applyFont="1" applyFill="1" applyAlignment="1">
      <alignment wrapText="1"/>
    </xf>
    <xf numFmtId="0" fontId="0" fillId="0" borderId="0" xfId="0" applyAlignment="1">
      <alignment wrapText="1"/>
    </xf>
    <xf numFmtId="0" fontId="30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12" xfId="0" applyFill="1" applyBorder="1" applyAlignment="1">
      <alignment horizontal="center" wrapText="1"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30" fillId="0" borderId="12" xfId="42" applyNumberFormat="1" applyFont="1" applyFill="1" applyBorder="1" applyAlignment="1" quotePrefix="1">
      <alignment horizontal="right" vertical="center" wrapText="1"/>
      <protection/>
    </xf>
    <xf numFmtId="2" fontId="30" fillId="0" borderId="12" xfId="42" applyNumberFormat="1" applyFont="1" applyFill="1" applyBorder="1" applyAlignment="1" quotePrefix="1">
      <alignment horizontal="right" vertical="center" wrapText="1"/>
      <protection/>
    </xf>
    <xf numFmtId="43" fontId="30" fillId="0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171" fontId="50" fillId="0" borderId="0" xfId="76" applyFont="1" applyAlignment="1">
      <alignment horizontal="right" vertical="center" wrapText="1"/>
    </xf>
    <xf numFmtId="0" fontId="30" fillId="0" borderId="14" xfId="43" applyFont="1" applyFill="1" applyBorder="1" applyAlignment="1" quotePrefix="1">
      <alignment horizontal="left" vertical="top" wrapText="1"/>
      <protection/>
    </xf>
    <xf numFmtId="0" fontId="30" fillId="0" borderId="15" xfId="43" applyFont="1" applyFill="1" applyBorder="1" applyAlignment="1" quotePrefix="1">
      <alignment horizontal="left" vertical="top" wrapText="1"/>
      <protection/>
    </xf>
    <xf numFmtId="0" fontId="30" fillId="0" borderId="16" xfId="43" applyFont="1" applyFill="1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30" fillId="0" borderId="12" xfId="43" applyFont="1" applyFill="1" applyBorder="1" applyAlignment="1" quotePrefix="1">
      <alignment horizontal="left" vertical="top" wrapText="1"/>
      <protection/>
    </xf>
    <xf numFmtId="0" fontId="30" fillId="0" borderId="12" xfId="43" applyBorder="1" applyAlignment="1" quotePrefix="1">
      <alignment horizontal="left" vertical="top" wrapText="1"/>
      <protection/>
    </xf>
    <xf numFmtId="0" fontId="30" fillId="0" borderId="19" xfId="43" applyBorder="1" applyAlignment="1" quotePrefix="1">
      <alignment horizontal="lef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28" fillId="0" borderId="0" xfId="33" applyAlignment="1" quotePrefix="1">
      <alignment horizontal="center" vertical="center" wrapText="1"/>
      <protection/>
    </xf>
    <xf numFmtId="0" fontId="29" fillId="21" borderId="17" xfId="41" applyBorder="1" applyAlignment="1" quotePrefix="1">
      <alignment horizontal="center" vertical="center" wrapText="1"/>
      <protection/>
    </xf>
    <xf numFmtId="0" fontId="29" fillId="21" borderId="18" xfId="41" applyBorder="1" applyAlignment="1" quotePrefix="1">
      <alignment horizontal="center" vertical="center" wrapText="1"/>
      <protection/>
    </xf>
    <xf numFmtId="0" fontId="29" fillId="20" borderId="17" xfId="40" applyFont="1" applyBorder="1" applyAlignment="1" quotePrefix="1">
      <alignment horizontal="left" vertical="center" wrapText="1"/>
      <protection/>
    </xf>
    <xf numFmtId="0" fontId="0" fillId="0" borderId="18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4" fontId="29" fillId="0" borderId="20" xfId="47" applyNumberFormat="1" applyBorder="1" applyAlignment="1" quotePrefix="1">
      <alignment horizontal="right" vertical="top" wrapText="1"/>
      <protection/>
    </xf>
    <xf numFmtId="0" fontId="0" fillId="0" borderId="20" xfId="0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30" fillId="0" borderId="19" xfId="43" applyFont="1" applyFill="1" applyBorder="1" applyAlignment="1" quotePrefix="1">
      <alignment horizontal="left" vertical="top" wrapText="1"/>
      <protection/>
    </xf>
    <xf numFmtId="0" fontId="30" fillId="0" borderId="20" xfId="43" applyFont="1" applyFill="1" applyBorder="1" applyAlignment="1" quotePrefix="1">
      <alignment horizontal="left" vertical="top" wrapText="1"/>
      <protection/>
    </xf>
    <xf numFmtId="0" fontId="30" fillId="0" borderId="12" xfId="37" applyFont="1" applyFill="1" applyBorder="1" applyAlignment="1" quotePrefix="1">
      <alignment horizontal="left" vertical="top" wrapText="1"/>
      <protection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12" xfId="37" applyBorder="1" applyAlignment="1" quotePrefix="1">
      <alignment horizontal="left" vertical="top" wrapText="1"/>
      <protection/>
    </xf>
    <xf numFmtId="0" fontId="0" fillId="36" borderId="14" xfId="0" applyFill="1" applyBorder="1" applyAlignment="1">
      <alignment horizontal="center" wrapText="1"/>
    </xf>
    <xf numFmtId="0" fontId="0" fillId="36" borderId="15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%20&#1048;&#1058;&#1054;&#1043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Uslugi_ZhKT_zatraty_po_domam__version_1__Vosstanovlen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23">
          <cell r="J323">
            <v>99.97549482510472</v>
          </cell>
        </row>
        <row r="444">
          <cell r="J444">
            <v>684.615821482499</v>
          </cell>
        </row>
        <row r="454">
          <cell r="J454">
            <v>863.9268878891185</v>
          </cell>
        </row>
        <row r="677">
          <cell r="J677">
            <v>786.6130943054591</v>
          </cell>
        </row>
        <row r="699">
          <cell r="J699">
            <v>1392.239787079781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90">
          <cell r="J290">
            <v>609.0492647362124</v>
          </cell>
        </row>
        <row r="960">
          <cell r="J960">
            <v>1535.2004130751782</v>
          </cell>
        </row>
        <row r="974">
          <cell r="J974">
            <v>672.1700975325577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8">
          <cell r="B28">
            <v>296975.88</v>
          </cell>
          <cell r="C28">
            <v>291036.3624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940">
          <cell r="J940">
            <v>546.9912167362124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110" zoomScaleNormal="110" zoomScalePageLayoutView="0" workbookViewId="0" topLeftCell="A1">
      <selection activeCell="B7" sqref="B7:D7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1.57421875" style="1" customWidth="1"/>
    <col min="4" max="4" width="9.7109375" style="1" customWidth="1"/>
    <col min="5" max="5" width="11.57421875" style="9" customWidth="1"/>
    <col min="6" max="6" width="5.57421875" style="1" customWidth="1"/>
    <col min="7" max="7" width="3.7109375" style="1" customWidth="1"/>
    <col min="8" max="16384" width="9.140625" style="1" customWidth="1"/>
  </cols>
  <sheetData>
    <row r="1" spans="1:5" s="19" customFormat="1" ht="24" customHeight="1">
      <c r="A1" s="41" t="s">
        <v>36</v>
      </c>
      <c r="B1" s="41"/>
      <c r="C1" s="41"/>
      <c r="D1" s="41"/>
      <c r="E1" s="41"/>
    </row>
    <row r="2" spans="2:5" s="4" customFormat="1" ht="12" customHeight="1">
      <c r="B2" s="3" t="s">
        <v>0</v>
      </c>
      <c r="E2" s="9"/>
    </row>
    <row r="3" spans="2:12" ht="21" customHeight="1">
      <c r="B3" s="42" t="s">
        <v>1</v>
      </c>
      <c r="C3" s="43"/>
      <c r="D3" s="43"/>
      <c r="E3" s="21" t="s">
        <v>44</v>
      </c>
      <c r="H3" s="56" t="s">
        <v>40</v>
      </c>
      <c r="I3" s="57"/>
      <c r="J3" s="57"/>
      <c r="K3" s="57"/>
      <c r="L3" s="58"/>
    </row>
    <row r="4" spans="2:12" ht="15" customHeight="1" thickBot="1">
      <c r="B4" s="44" t="s">
        <v>26</v>
      </c>
      <c r="C4" s="45"/>
      <c r="D4" s="45"/>
      <c r="E4" s="45"/>
      <c r="H4" s="20" t="s">
        <v>17</v>
      </c>
      <c r="I4" s="20" t="s">
        <v>41</v>
      </c>
      <c r="J4" s="20" t="s">
        <v>33</v>
      </c>
      <c r="K4" s="20" t="s">
        <v>42</v>
      </c>
      <c r="L4" s="20" t="s">
        <v>43</v>
      </c>
    </row>
    <row r="5" spans="2:12" ht="12" customHeight="1" hidden="1" thickBot="1">
      <c r="B5" s="35" t="s">
        <v>16</v>
      </c>
      <c r="C5" s="36"/>
      <c r="D5" s="36"/>
      <c r="E5" s="10"/>
      <c r="H5" s="5" t="s">
        <v>17</v>
      </c>
      <c r="I5" s="5" t="s">
        <v>18</v>
      </c>
      <c r="J5" s="5" t="s">
        <v>19</v>
      </c>
      <c r="K5" s="5" t="s">
        <v>20</v>
      </c>
      <c r="L5" s="6" t="s">
        <v>21</v>
      </c>
    </row>
    <row r="6" spans="2:12" ht="27.75" customHeight="1" thickBot="1">
      <c r="B6" s="35" t="s">
        <v>27</v>
      </c>
      <c r="C6" s="36"/>
      <c r="D6" s="36"/>
      <c r="E6" s="10">
        <f>2.05*J6*12+J6*2*2.05+2.05*4*J6*2</f>
        <v>20285.979999999996</v>
      </c>
      <c r="H6" s="7">
        <v>39</v>
      </c>
      <c r="I6" s="7">
        <v>1532.2</v>
      </c>
      <c r="J6" s="7">
        <v>449.8</v>
      </c>
      <c r="K6" s="7">
        <f>J6</f>
        <v>449.8</v>
      </c>
      <c r="L6" s="8">
        <v>29</v>
      </c>
    </row>
    <row r="7" spans="2:5" ht="36" customHeight="1">
      <c r="B7" s="35" t="s">
        <v>22</v>
      </c>
      <c r="C7" s="36"/>
      <c r="D7" s="36"/>
      <c r="E7" s="10">
        <f>(I6*2.05*2)</f>
        <v>6282.0199999999995</v>
      </c>
    </row>
    <row r="8" spans="2:5" ht="12" customHeight="1">
      <c r="B8" s="35" t="s">
        <v>23</v>
      </c>
      <c r="C8" s="36"/>
      <c r="D8" s="36"/>
      <c r="E8" s="10">
        <f>I6*2.05*2</f>
        <v>6282.0199999999995</v>
      </c>
    </row>
    <row r="9" spans="2:5" ht="27.75" customHeight="1">
      <c r="B9" s="35" t="s">
        <v>24</v>
      </c>
      <c r="C9" s="36"/>
      <c r="D9" s="36"/>
      <c r="E9" s="10">
        <f>(3*121.53*2*I6/1000)*3</f>
        <v>3351.7487880000003</v>
      </c>
    </row>
    <row r="10" spans="2:5" ht="12" customHeight="1">
      <c r="B10" s="35" t="s">
        <v>9</v>
      </c>
      <c r="C10" s="36"/>
      <c r="D10" s="36"/>
      <c r="E10" s="10">
        <f>12*I6*0.83</f>
        <v>15260.712000000001</v>
      </c>
    </row>
    <row r="11" spans="2:5" ht="12" customHeight="1">
      <c r="B11" s="39" t="s">
        <v>11</v>
      </c>
      <c r="C11" s="40"/>
      <c r="D11" s="40"/>
      <c r="E11" s="25">
        <f>12*I6*6.05</f>
        <v>111237.72</v>
      </c>
    </row>
    <row r="12" spans="2:5" ht="12" customHeight="1">
      <c r="B12" s="38" t="s">
        <v>12</v>
      </c>
      <c r="C12" s="38"/>
      <c r="D12" s="38"/>
      <c r="E12" s="24">
        <f>1*L6*286.7</f>
        <v>8314.3</v>
      </c>
    </row>
    <row r="13" spans="2:5" ht="12" customHeight="1">
      <c r="B13" s="38" t="s">
        <v>10</v>
      </c>
      <c r="C13" s="38"/>
      <c r="D13" s="38"/>
      <c r="E13" s="24">
        <f>12*I6*0.54</f>
        <v>9928.656</v>
      </c>
    </row>
    <row r="14" spans="2:5" ht="12" customHeight="1">
      <c r="B14" s="55" t="s">
        <v>14</v>
      </c>
      <c r="C14" s="55"/>
      <c r="D14" s="55"/>
      <c r="E14" s="24">
        <v>7500</v>
      </c>
    </row>
    <row r="15" spans="2:5" ht="6" customHeight="1">
      <c r="B15" s="38" t="s">
        <v>13</v>
      </c>
      <c r="C15" s="38"/>
      <c r="D15" s="38"/>
      <c r="E15" s="54">
        <f>12*I6*1.14</f>
        <v>20960.496</v>
      </c>
    </row>
    <row r="16" spans="2:5" ht="6" customHeight="1">
      <c r="B16" s="38"/>
      <c r="C16" s="38"/>
      <c r="D16" s="38"/>
      <c r="E16" s="54"/>
    </row>
    <row r="17" spans="2:5" ht="6" customHeight="1">
      <c r="B17" s="38" t="s">
        <v>25</v>
      </c>
      <c r="C17" s="38"/>
      <c r="D17" s="38"/>
      <c r="E17" s="54">
        <f>12*I6*2.25</f>
        <v>41369.4</v>
      </c>
    </row>
    <row r="18" spans="2:5" ht="6" customHeight="1">
      <c r="B18" s="38"/>
      <c r="C18" s="38"/>
      <c r="D18" s="38"/>
      <c r="E18" s="54"/>
    </row>
    <row r="19" spans="2:5" ht="12" customHeight="1">
      <c r="B19" s="38" t="s">
        <v>28</v>
      </c>
      <c r="C19" s="38"/>
      <c r="D19" s="38"/>
      <c r="E19" s="24">
        <f>12*I6*0.37</f>
        <v>6802.968000000001</v>
      </c>
    </row>
    <row r="20" spans="2:5" ht="12" customHeight="1">
      <c r="B20" s="38" t="s">
        <v>29</v>
      </c>
      <c r="C20" s="38"/>
      <c r="D20" s="38"/>
      <c r="E20" s="24">
        <f>H6*2*60%*2*137.35*0.38</f>
        <v>4885.2648</v>
      </c>
    </row>
    <row r="21" spans="2:5" ht="12" customHeight="1">
      <c r="B21" s="38" t="s">
        <v>30</v>
      </c>
      <c r="C21" s="38"/>
      <c r="D21" s="38"/>
      <c r="E21" s="24">
        <f>H6*60%*2*137.35*0.38</f>
        <v>2442.6324</v>
      </c>
    </row>
    <row r="22" spans="2:5" s="15" customFormat="1" ht="12" customHeight="1">
      <c r="B22" s="38" t="s">
        <v>31</v>
      </c>
      <c r="C22" s="38"/>
      <c r="D22" s="38"/>
      <c r="E22" s="18">
        <f>68.68*15</f>
        <v>1030.2</v>
      </c>
    </row>
    <row r="23" spans="2:5" s="15" customFormat="1" ht="12" customHeight="1">
      <c r="B23" s="38" t="s">
        <v>2</v>
      </c>
      <c r="C23" s="38"/>
      <c r="D23" s="38"/>
      <c r="E23" s="18">
        <f>68.68*12</f>
        <v>824.1600000000001</v>
      </c>
    </row>
    <row r="24" spans="2:5" s="15" customFormat="1" ht="12" customHeight="1">
      <c r="B24" s="38" t="s">
        <v>32</v>
      </c>
      <c r="C24" s="38"/>
      <c r="D24" s="38"/>
      <c r="E24" s="18">
        <f>68.68*14</f>
        <v>961.5200000000001</v>
      </c>
    </row>
    <row r="25" spans="2:5" s="30" customFormat="1" ht="12" customHeight="1">
      <c r="B25" s="53" t="s">
        <v>50</v>
      </c>
      <c r="C25" s="53"/>
      <c r="D25" s="53"/>
      <c r="E25" s="28">
        <f>'[2]на июль 15г'!$J$974*1+'[2]на июль 15г'!$J$290*1+2*'[5]на июль 15г'!$J$940</f>
        <v>2375.201795741195</v>
      </c>
    </row>
    <row r="26" spans="2:5" s="30" customFormat="1" ht="12" customHeight="1">
      <c r="B26" s="37" t="s">
        <v>48</v>
      </c>
      <c r="C26" s="37"/>
      <c r="D26" s="37"/>
      <c r="E26" s="28">
        <f>1*'[2]на июль 15г'!$J$960</f>
        <v>1535.2004130751782</v>
      </c>
    </row>
    <row r="27" spans="2:5" s="30" customFormat="1" ht="14.25" customHeight="1">
      <c r="B27" s="37" t="s">
        <v>51</v>
      </c>
      <c r="C27" s="37"/>
      <c r="D27" s="37"/>
      <c r="E27" s="28">
        <f>50.89*10</f>
        <v>508.9</v>
      </c>
    </row>
    <row r="28" spans="2:5" s="30" customFormat="1" ht="12" customHeight="1">
      <c r="B28" s="37" t="s">
        <v>47</v>
      </c>
      <c r="C28" s="37"/>
      <c r="D28" s="37"/>
      <c r="E28" s="28">
        <f>2*'[1]на июль 15г'!$J$277</f>
        <v>1671.000241472425</v>
      </c>
    </row>
    <row r="29" spans="2:5" s="30" customFormat="1" ht="12.75" customHeight="1">
      <c r="B29" s="37" t="s">
        <v>37</v>
      </c>
      <c r="C29" s="37"/>
      <c r="D29" s="37"/>
      <c r="E29" s="27">
        <f>35*'[4]на июль 15г'!$J$1057</f>
        <v>4006.904327914723</v>
      </c>
    </row>
    <row r="30" spans="2:5" s="30" customFormat="1" ht="14.25" customHeight="1">
      <c r="B30" s="37" t="s">
        <v>52</v>
      </c>
      <c r="C30" s="37"/>
      <c r="D30" s="37"/>
      <c r="E30" s="27">
        <f>6*'[1]на июль 15г'!$J$198</f>
        <v>987.0482654850978</v>
      </c>
    </row>
    <row r="31" spans="2:5" s="30" customFormat="1" ht="14.25" customHeight="1">
      <c r="B31" s="51" t="s">
        <v>53</v>
      </c>
      <c r="C31" s="52"/>
      <c r="D31" s="52"/>
      <c r="E31" s="27">
        <v>214.6</v>
      </c>
    </row>
    <row r="32" spans="2:5" s="30" customFormat="1" ht="12" customHeight="1">
      <c r="B32" s="37" t="s">
        <v>34</v>
      </c>
      <c r="C32" s="37"/>
      <c r="D32" s="37"/>
      <c r="E32" s="28">
        <f>2*'[1]на июль 15г'!$J$323</f>
        <v>199.95098965020944</v>
      </c>
    </row>
    <row r="33" spans="2:5" s="30" customFormat="1" ht="12" customHeight="1">
      <c r="B33" s="37" t="s">
        <v>5</v>
      </c>
      <c r="C33" s="37"/>
      <c r="D33" s="37"/>
      <c r="E33" s="27">
        <f>6*'[1]на июль 15г'!$J$211</f>
        <v>345.6601891779171</v>
      </c>
    </row>
    <row r="34" spans="2:5" s="30" customFormat="1" ht="12" customHeight="1">
      <c r="B34" s="37" t="s">
        <v>46</v>
      </c>
      <c r="C34" s="37"/>
      <c r="D34" s="37"/>
      <c r="E34" s="27">
        <f>26*'[1]на июль 15г'!$J$211</f>
        <v>1497.860819770974</v>
      </c>
    </row>
    <row r="35" spans="2:5" s="30" customFormat="1" ht="12" customHeight="1">
      <c r="B35" s="37" t="s">
        <v>4</v>
      </c>
      <c r="C35" s="37"/>
      <c r="D35" s="37"/>
      <c r="E35" s="28">
        <f>4*'[1]на июль 15г'!$J$264</f>
        <v>283.5772870495433</v>
      </c>
    </row>
    <row r="36" spans="2:5" s="16" customFormat="1" ht="12" customHeight="1">
      <c r="B36" s="37" t="s">
        <v>15</v>
      </c>
      <c r="C36" s="37"/>
      <c r="D36" s="37"/>
      <c r="E36" s="28">
        <f>1*('[1]на июль 15г'!$J$677+'[1]на июль 15г'!$J$699)</f>
        <v>2178.85288138524</v>
      </c>
    </row>
    <row r="37" spans="2:5" s="17" customFormat="1" ht="12" customHeight="1">
      <c r="B37" s="37" t="s">
        <v>8</v>
      </c>
      <c r="C37" s="37"/>
      <c r="D37" s="37"/>
      <c r="E37" s="28">
        <f>3*'[1]на июль 15г'!$J$444</f>
        <v>2053.847464447497</v>
      </c>
    </row>
    <row r="38" spans="2:5" s="17" customFormat="1" ht="12" customHeight="1">
      <c r="B38" s="37" t="s">
        <v>3</v>
      </c>
      <c r="C38" s="37"/>
      <c r="D38" s="37"/>
      <c r="E38" s="28">
        <f>2*'[1]на июль 15г'!$J$454</f>
        <v>1727.853775778237</v>
      </c>
    </row>
    <row r="39" spans="2:5" s="29" customFormat="1" ht="12.75" customHeight="1">
      <c r="B39" s="32" t="s">
        <v>7</v>
      </c>
      <c r="C39" s="33"/>
      <c r="D39" s="34"/>
      <c r="E39" s="26">
        <f>2201.44+550.57+2000</f>
        <v>4752.01</v>
      </c>
    </row>
    <row r="40" spans="2:5" s="19" customFormat="1" ht="12" customHeight="1">
      <c r="B40" s="37" t="s">
        <v>38</v>
      </c>
      <c r="C40" s="37"/>
      <c r="D40" s="37"/>
      <c r="E40" s="26">
        <v>1527.1</v>
      </c>
    </row>
    <row r="41" spans="2:5" s="22" customFormat="1" ht="12" customHeight="1">
      <c r="B41" s="37" t="s">
        <v>45</v>
      </c>
      <c r="C41" s="50"/>
      <c r="D41" s="50"/>
      <c r="E41" s="26">
        <f>2180</f>
        <v>2180</v>
      </c>
    </row>
    <row r="42" spans="2:5" s="23" customFormat="1" ht="12" customHeight="1">
      <c r="B42" s="37" t="s">
        <v>49</v>
      </c>
      <c r="C42" s="37"/>
      <c r="D42" s="37"/>
      <c r="E42" s="27">
        <v>744</v>
      </c>
    </row>
    <row r="43" spans="2:5" s="4" customFormat="1" ht="12" customHeight="1">
      <c r="B43" s="11"/>
      <c r="C43" s="11"/>
      <c r="D43" s="11"/>
      <c r="E43" s="13">
        <f>SUM(E5:E42)</f>
        <v>296509.36643894814</v>
      </c>
    </row>
    <row r="44" spans="3:5" ht="12" customHeight="1">
      <c r="C44" s="14" t="s">
        <v>35</v>
      </c>
      <c r="D44" s="48">
        <f>'[3]Лист1'!$B$28</f>
        <v>296975.88</v>
      </c>
      <c r="E44" s="49"/>
    </row>
    <row r="45" spans="3:5" ht="12" customHeight="1">
      <c r="C45" s="2" t="s">
        <v>6</v>
      </c>
      <c r="D45" s="46">
        <f>'[3]Лист1'!$C$28</f>
        <v>291036.3624</v>
      </c>
      <c r="E45" s="47"/>
    </row>
    <row r="46" spans="3:5" ht="12" customHeight="1">
      <c r="C46" s="14" t="s">
        <v>39</v>
      </c>
      <c r="D46" s="12"/>
      <c r="E46" s="31">
        <f>E43</f>
        <v>296509.36643894814</v>
      </c>
    </row>
  </sheetData>
  <sheetProtection password="CCF3" sheet="1" objects="1" scenarios="1" selectLockedCells="1" selectUnlockedCells="1"/>
  <mergeCells count="44">
    <mergeCell ref="H3:L3"/>
    <mergeCell ref="B14:D14"/>
    <mergeCell ref="B8:D8"/>
    <mergeCell ref="E15:E16"/>
    <mergeCell ref="B6:D6"/>
    <mergeCell ref="B9:D9"/>
    <mergeCell ref="B10:D10"/>
    <mergeCell ref="B35:D35"/>
    <mergeCell ref="B32:D32"/>
    <mergeCell ref="B40:D40"/>
    <mergeCell ref="B38:D38"/>
    <mergeCell ref="B25:D25"/>
    <mergeCell ref="B27:D27"/>
    <mergeCell ref="B29:D29"/>
    <mergeCell ref="D45:E45"/>
    <mergeCell ref="D44:E44"/>
    <mergeCell ref="B41:D41"/>
    <mergeCell ref="B36:D36"/>
    <mergeCell ref="B42:D42"/>
    <mergeCell ref="B23:D23"/>
    <mergeCell ref="B37:D37"/>
    <mergeCell ref="B28:D28"/>
    <mergeCell ref="B31:D31"/>
    <mergeCell ref="B34:D34"/>
    <mergeCell ref="B33:D33"/>
    <mergeCell ref="B30:D30"/>
    <mergeCell ref="A1:E1"/>
    <mergeCell ref="B3:D3"/>
    <mergeCell ref="B4:E4"/>
    <mergeCell ref="B5:D5"/>
    <mergeCell ref="B21:D21"/>
    <mergeCell ref="B17:D18"/>
    <mergeCell ref="E17:E18"/>
    <mergeCell ref="B20:D20"/>
    <mergeCell ref="B39:D39"/>
    <mergeCell ref="B7:D7"/>
    <mergeCell ref="B26:D26"/>
    <mergeCell ref="B22:D22"/>
    <mergeCell ref="B19:D19"/>
    <mergeCell ref="B15:D16"/>
    <mergeCell ref="B13:D13"/>
    <mergeCell ref="B12:D12"/>
    <mergeCell ref="B24:D24"/>
    <mergeCell ref="B11:D11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2020-03-27T02:49:05Z</dcterms:modified>
  <cp:category/>
  <cp:version/>
  <cp:contentType/>
  <cp:contentStatus/>
</cp:coreProperties>
</file>