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85" tabRatio="901" activeTab="0"/>
  </bookViews>
  <sheets>
    <sheet name="Лист" sheetId="1" r:id="rId1"/>
  </sheets>
  <externalReferences>
    <externalReference r:id="rId4"/>
    <externalReference r:id="rId5"/>
    <externalReference r:id="rId6"/>
  </externalReferences>
  <definedNames>
    <definedName name="_xlnm.Print_Area" localSheetId="0">'Лист'!#REF!</definedName>
  </definedNames>
  <calcPr calcMode="autoNoTable" fullCalcOnLoad="1"/>
</workbook>
</file>

<file path=xl/sharedStrings.xml><?xml version="1.0" encoding="utf-8"?>
<sst xmlns="http://schemas.openxmlformats.org/spreadsheetml/2006/main" count="58" uniqueCount="57">
  <si>
    <t>Сгруппированный по операциям</t>
  </si>
  <si>
    <t>Список операций</t>
  </si>
  <si>
    <t>Осмотр внутриквартийных устройств центрального отопления</t>
  </si>
  <si>
    <t>Осмотр водопровода, канализации и горячего водоснабжения в квартирах</t>
  </si>
  <si>
    <t>Осмотр линий электрических сетей, арматуры и электрооборудования</t>
  </si>
  <si>
    <t>Смена выключателей</t>
  </si>
  <si>
    <t>Смена ламп накаливания</t>
  </si>
  <si>
    <t>Оплачено по дому:</t>
  </si>
  <si>
    <t>Очистка кровли от снега и скалывание сосулек</t>
  </si>
  <si>
    <t>Ремонт детской площадки</t>
  </si>
  <si>
    <t>Вывоз крупногабаритного мусора</t>
  </si>
  <si>
    <t>Затраты на аварийное обслуживание</t>
  </si>
  <si>
    <t>Затраты по управлению многоквартирным домом</t>
  </si>
  <si>
    <t>Ликвидация воздушных пробок в стояке</t>
  </si>
  <si>
    <t>Уборка лестничных клеток</t>
  </si>
  <si>
    <t>Уборка придомовой территории механизированным способом</t>
  </si>
  <si>
    <t>Осмотр инженерного оборудования в подвале</t>
  </si>
  <si>
    <t>квартир</t>
  </si>
  <si>
    <t>общ</t>
  </si>
  <si>
    <t xml:space="preserve">подвал </t>
  </si>
  <si>
    <t>черд</t>
  </si>
  <si>
    <t>стояков</t>
  </si>
  <si>
    <t>Проведение технических осмотров, проведение ППР и устранение незначительных неисправностей электротехнических устройств в домах с закрытой проводкой. Многоквартирные дома от 2-х до 5 этажей со сроком эксплуатации свыше 31 года</t>
  </si>
  <si>
    <t>Проверка наличия тяги в дымовентиляционных каналах</t>
  </si>
  <si>
    <t>Осмотр устройства системы центрального отопления в чердачных и подвальных помещениях</t>
  </si>
  <si>
    <t>Осмотр кровли, подъездных дверных и оконных проемов, внутренней и наружной штукатурки и облицовки стен</t>
  </si>
  <si>
    <t>Уборка придомовой территории</t>
  </si>
  <si>
    <t xml:space="preserve">Адрес дома: СПОРТИВНАЯ, 38 </t>
  </si>
  <si>
    <t>Осмотр инженерного оборудования, отопления, водопровода, канализации и горячего водоснабжения в подвале</t>
  </si>
  <si>
    <t>Содержание общедомовых приборов учета ТУ</t>
  </si>
  <si>
    <t>Снятие показаний с прибора учета воды ИПУ</t>
  </si>
  <si>
    <t>Поверка общедомовых приборов учета (воды)</t>
  </si>
  <si>
    <t>Снятие показаний с прибора учета электроэнергии  ИПУ</t>
  </si>
  <si>
    <t>подвал</t>
  </si>
  <si>
    <t>Смена патронов</t>
  </si>
  <si>
    <t>Начислено по дому:</t>
  </si>
  <si>
    <t>Ремонт крыльца</t>
  </si>
  <si>
    <t>Отчет о работах, выполненных за период с Января 2019 г. по Декабрь 2019 г.</t>
  </si>
  <si>
    <t>Смена вентилей и клапанов обратных муфтовых диаметром: 15 мм</t>
  </si>
  <si>
    <t>Разборка трубопроводов из чугунных канализационных труб диаметром: 100 мм</t>
  </si>
  <si>
    <t>Прокладка внутренних трубопроводов канализации из полипропиленовых труб диаметром: 110 мм</t>
  </si>
  <si>
    <t>Смена вентилей и клапанов обратных муфтовых диаметром: 40 мм</t>
  </si>
  <si>
    <t>Замена распределительной коробки</t>
  </si>
  <si>
    <t>Итого затрачено по дому:</t>
  </si>
  <si>
    <t>Количество</t>
  </si>
  <si>
    <t xml:space="preserve">общая площадь </t>
  </si>
  <si>
    <t>чердак</t>
  </si>
  <si>
    <t>стояки</t>
  </si>
  <si>
    <t>Сумма</t>
  </si>
  <si>
    <t>Изготовление и установка скребков</t>
  </si>
  <si>
    <t>Установка информационной таблички по месту выгула собак</t>
  </si>
  <si>
    <t>Смена ламп: светодиодных</t>
  </si>
  <si>
    <t>Замена фотореле</t>
  </si>
  <si>
    <t>Замена датчиков движения</t>
  </si>
  <si>
    <t>Установка пружин на тамбурные двери</t>
  </si>
  <si>
    <r>
      <t>Провод по установленным стальным конструкциям и панелям, сечение: до 16 мм</t>
    </r>
    <r>
      <rPr>
        <vertAlign val="superscript"/>
        <sz val="9"/>
        <color indexed="8"/>
        <rFont val="Arial"/>
        <family val="2"/>
      </rPr>
      <t>2</t>
    </r>
  </si>
  <si>
    <t>Замена светильников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</si>
</sst>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_р_."/>
    <numFmt numFmtId="174" formatCode="#\ ##0.00"/>
    <numFmt numFmtId="175" formatCode="0.00000"/>
    <numFmt numFmtId="176" formatCode="0.0000"/>
    <numFmt numFmtId="177" formatCode="0.000"/>
    <numFmt numFmtId="178" formatCode="#,##0.00\ &quot;₽&quot;"/>
    <numFmt numFmtId="179" formatCode="0.0000000"/>
    <numFmt numFmtId="180" formatCode="0.00000000"/>
    <numFmt numFmtId="181" formatCode="0.000000"/>
    <numFmt numFmtId="182" formatCode="[$-FC19]d\ mmmm\ yyyy\ &quot;г.&quot;"/>
    <numFmt numFmtId="183" formatCode="0.000000000"/>
    <numFmt numFmtId="184" formatCode="0.0000000000"/>
    <numFmt numFmtId="185" formatCode="0.00000000000"/>
    <numFmt numFmtId="186" formatCode="0.000000000000"/>
    <numFmt numFmtId="187" formatCode="0.0"/>
    <numFmt numFmtId="188" formatCode="_-* #,##0.0\ _₽_-;\-* #,##0.0\ _₽_-;_-* &quot;-&quot;??\ _₽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center" vertical="center"/>
      <protection/>
    </xf>
    <xf numFmtId="0" fontId="29" fillId="0" borderId="0">
      <alignment horizontal="center" vertical="center"/>
      <protection/>
    </xf>
    <xf numFmtId="0" fontId="30" fillId="0" borderId="0">
      <alignment horizontal="righ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right" vertical="top"/>
      <protection/>
    </xf>
    <xf numFmtId="0" fontId="30" fillId="20" borderId="0">
      <alignment horizontal="left" vertical="center"/>
      <protection/>
    </xf>
    <xf numFmtId="0" fontId="29" fillId="21" borderId="0">
      <alignment horizontal="center" vertical="center"/>
      <protection/>
    </xf>
    <xf numFmtId="0" fontId="30" fillId="0" borderId="0">
      <alignment horizontal="right" vertical="center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30" fillId="0" borderId="0">
      <alignment horizontal="left" vertical="top"/>
      <protection/>
    </xf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4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9" fillId="0" borderId="0" xfId="46" applyAlignment="1" quotePrefix="1">
      <alignment horizontal="right" vertical="top" wrapText="1"/>
      <protection/>
    </xf>
    <xf numFmtId="0" fontId="29" fillId="0" borderId="10" xfId="34" applyBorder="1" applyAlignment="1" quotePrefix="1">
      <alignment horizontal="center" vertical="center" wrapText="1"/>
      <protection/>
    </xf>
    <xf numFmtId="0" fontId="49" fillId="0" borderId="11" xfId="0" applyFont="1" applyBorder="1" applyAlignment="1">
      <alignment wrapText="1"/>
    </xf>
    <xf numFmtId="0" fontId="49" fillId="0" borderId="11" xfId="0" applyFont="1" applyBorder="1" applyAlignment="1">
      <alignment horizontal="center" wrapText="1"/>
    </xf>
    <xf numFmtId="0" fontId="50" fillId="35" borderId="11" xfId="0" applyFont="1" applyFill="1" applyBorder="1" applyAlignment="1">
      <alignment wrapText="1"/>
    </xf>
    <xf numFmtId="0" fontId="50" fillId="35" borderId="11" xfId="0" applyFont="1" applyFill="1" applyBorder="1" applyAlignment="1">
      <alignment horizontal="center" wrapText="1"/>
    </xf>
    <xf numFmtId="2" fontId="0" fillId="0" borderId="0" xfId="0" applyNumberFormat="1" applyAlignment="1">
      <alignment wrapText="1"/>
    </xf>
    <xf numFmtId="0" fontId="30" fillId="0" borderId="0" xfId="43" applyBorder="1" applyAlignment="1" quotePrefix="1">
      <alignment horizontal="left" vertical="top" wrapText="1"/>
      <protection/>
    </xf>
    <xf numFmtId="4" fontId="29" fillId="0" borderId="12" xfId="39" applyNumberFormat="1" applyBorder="1" applyAlignment="1" quotePrefix="1">
      <alignment vertical="top" wrapText="1"/>
      <protection/>
    </xf>
    <xf numFmtId="0" fontId="29" fillId="0" borderId="0" xfId="46" applyAlignment="1" quotePrefix="1">
      <alignment horizontal="right" vertical="top" wrapText="1"/>
      <protection/>
    </xf>
    <xf numFmtId="4" fontId="30" fillId="0" borderId="13" xfId="42" applyNumberFormat="1" applyFont="1" applyBorder="1" applyAlignment="1" quotePrefix="1">
      <alignment horizontal="right" vertical="center" wrapText="1"/>
      <protection/>
    </xf>
    <xf numFmtId="4" fontId="51" fillId="0" borderId="0" xfId="0" applyNumberFormat="1" applyFont="1" applyAlignment="1">
      <alignment wrapText="1"/>
    </xf>
    <xf numFmtId="4" fontId="52" fillId="0" borderId="0" xfId="0" applyNumberFormat="1" applyFont="1" applyBorder="1" applyAlignment="1">
      <alignment horizontal="right"/>
    </xf>
    <xf numFmtId="0" fontId="51" fillId="0" borderId="13" xfId="0" applyNumberFormat="1" applyFont="1" applyBorder="1" applyAlignment="1">
      <alignment horizontal="right"/>
    </xf>
    <xf numFmtId="0" fontId="0" fillId="0" borderId="0" xfId="0" applyFill="1" applyAlignment="1">
      <alignment wrapText="1"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13" xfId="0" applyFill="1" applyBorder="1" applyAlignment="1">
      <alignment horizontal="center" wrapText="1"/>
    </xf>
    <xf numFmtId="0" fontId="29" fillId="21" borderId="13" xfId="41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30" fillId="0" borderId="13" xfId="42" applyNumberFormat="1" applyFont="1" applyFill="1" applyBorder="1" applyAlignment="1" quotePrefix="1">
      <alignment horizontal="right" vertical="center" wrapText="1"/>
      <protection/>
    </xf>
    <xf numFmtId="0" fontId="51" fillId="0" borderId="14" xfId="0" applyNumberFormat="1" applyFont="1" applyBorder="1" applyAlignment="1">
      <alignment horizontal="right"/>
    </xf>
    <xf numFmtId="2" fontId="30" fillId="0" borderId="13" xfId="42" applyNumberFormat="1" applyFont="1" applyFill="1" applyBorder="1" applyAlignment="1" quotePrefix="1">
      <alignment horizontal="right" vertical="center" wrapText="1"/>
      <protection/>
    </xf>
    <xf numFmtId="43" fontId="30" fillId="0" borderId="13" xfId="42" applyNumberFormat="1" applyFont="1" applyFill="1" applyBorder="1" applyAlignment="1" quotePrefix="1">
      <alignment horizontal="right" vertical="center" wrapText="1"/>
      <protection/>
    </xf>
    <xf numFmtId="0" fontId="0" fillId="0" borderId="0" xfId="0" applyAlignment="1">
      <alignment wrapText="1"/>
    </xf>
    <xf numFmtId="4" fontId="30" fillId="0" borderId="13" xfId="42" applyNumberFormat="1" applyFont="1" applyBorder="1" applyAlignment="1" quotePrefix="1">
      <alignment horizontal="right" vertical="center" wrapText="1"/>
      <protection/>
    </xf>
    <xf numFmtId="4" fontId="51" fillId="0" borderId="13" xfId="0" applyNumberFormat="1" applyFont="1" applyFill="1" applyBorder="1" applyAlignment="1">
      <alignment horizontal="right"/>
    </xf>
    <xf numFmtId="0" fontId="51" fillId="0" borderId="13" xfId="0" applyNumberFormat="1" applyFont="1" applyFill="1" applyBorder="1" applyAlignment="1">
      <alignment horizontal="right"/>
    </xf>
    <xf numFmtId="171" fontId="50" fillId="0" borderId="12" xfId="76" applyFont="1" applyBorder="1" applyAlignment="1">
      <alignment horizontal="right" vertical="center" wrapText="1"/>
    </xf>
    <xf numFmtId="0" fontId="0" fillId="0" borderId="0" xfId="0" applyFill="1" applyAlignment="1">
      <alignment wrapText="1"/>
    </xf>
    <xf numFmtId="0" fontId="30" fillId="0" borderId="15" xfId="43" applyBorder="1" applyAlignment="1" quotePrefix="1">
      <alignment horizontal="left" vertical="top" wrapText="1"/>
      <protection/>
    </xf>
    <xf numFmtId="0" fontId="30" fillId="0" borderId="16" xfId="43" applyBorder="1" applyAlignment="1" quotePrefix="1">
      <alignment horizontal="left" vertical="top" wrapText="1"/>
      <protection/>
    </xf>
    <xf numFmtId="0" fontId="30" fillId="0" borderId="17" xfId="43" applyBorder="1" applyAlignment="1" quotePrefix="1">
      <alignment horizontal="left" vertical="top" wrapText="1"/>
      <protection/>
    </xf>
    <xf numFmtId="0" fontId="30" fillId="0" borderId="18" xfId="43" applyBorder="1" applyAlignment="1" quotePrefix="1">
      <alignment horizontal="left" vertical="top" wrapText="1"/>
      <protection/>
    </xf>
    <xf numFmtId="0" fontId="30" fillId="0" borderId="19" xfId="43" applyBorder="1" applyAlignment="1" quotePrefix="1">
      <alignment horizontal="left" vertical="top" wrapText="1"/>
      <protection/>
    </xf>
    <xf numFmtId="0" fontId="30" fillId="0" borderId="10" xfId="43" applyBorder="1" applyAlignment="1" quotePrefix="1">
      <alignment horizontal="left" vertical="top" wrapText="1"/>
      <protection/>
    </xf>
    <xf numFmtId="0" fontId="30" fillId="0" borderId="13" xfId="43" applyFont="1" applyFill="1" applyBorder="1" applyAlignment="1" quotePrefix="1">
      <alignment horizontal="left" vertical="top" wrapText="1"/>
      <protection/>
    </xf>
    <xf numFmtId="4" fontId="29" fillId="0" borderId="20" xfId="47" applyNumberFormat="1" applyBorder="1" applyAlignment="1" quotePrefix="1">
      <alignment horizontal="right" vertical="top" wrapText="1"/>
      <protection/>
    </xf>
    <xf numFmtId="0" fontId="0" fillId="0" borderId="0" xfId="0" applyBorder="1" applyAlignment="1">
      <alignment wrapText="1"/>
    </xf>
    <xf numFmtId="0" fontId="30" fillId="0" borderId="21" xfId="43" applyBorder="1" applyAlignment="1" quotePrefix="1">
      <alignment horizontal="left" vertical="top" wrapText="1"/>
      <protection/>
    </xf>
    <xf numFmtId="0" fontId="30" fillId="0" borderId="22" xfId="43" applyBorder="1" applyAlignment="1" quotePrefix="1">
      <alignment horizontal="left" vertical="top" wrapText="1"/>
      <protection/>
    </xf>
    <xf numFmtId="4" fontId="30" fillId="0" borderId="13" xfId="42" applyNumberFormat="1" applyFont="1" applyBorder="1" applyAlignment="1" quotePrefix="1">
      <alignment horizontal="right" vertical="center" wrapText="1"/>
      <protection/>
    </xf>
    <xf numFmtId="0" fontId="30" fillId="0" borderId="23" xfId="37" applyBorder="1" applyAlignment="1" quotePrefix="1">
      <alignment horizontal="left" vertical="top" wrapText="1"/>
      <protection/>
    </xf>
    <xf numFmtId="0" fontId="30" fillId="0" borderId="24" xfId="37" applyBorder="1" applyAlignment="1" quotePrefix="1">
      <alignment horizontal="left" vertical="top" wrapText="1"/>
      <protection/>
    </xf>
    <xf numFmtId="0" fontId="30" fillId="0" borderId="13" xfId="43" applyBorder="1" applyAlignment="1" quotePrefix="1">
      <alignment horizontal="left" vertical="top" wrapText="1"/>
      <protection/>
    </xf>
    <xf numFmtId="0" fontId="30" fillId="20" borderId="15" xfId="40" applyBorder="1" applyAlignment="1" quotePrefix="1">
      <alignment horizontal="left" vertical="center" wrapText="1"/>
      <protection/>
    </xf>
    <xf numFmtId="0" fontId="0" fillId="0" borderId="16" xfId="0" applyBorder="1" applyAlignment="1">
      <alignment wrapText="1"/>
    </xf>
    <xf numFmtId="0" fontId="28" fillId="0" borderId="0" xfId="33" applyAlignment="1" quotePrefix="1">
      <alignment horizontal="center" vertical="center" wrapText="1"/>
      <protection/>
    </xf>
    <xf numFmtId="0" fontId="29" fillId="21" borderId="15" xfId="41" applyBorder="1" applyAlignment="1" quotePrefix="1">
      <alignment horizontal="center" vertical="center" wrapText="1"/>
      <protection/>
    </xf>
    <xf numFmtId="0" fontId="29" fillId="21" borderId="16" xfId="41" applyBorder="1" applyAlignment="1" quotePrefix="1">
      <alignment horizontal="center" vertical="center" wrapText="1"/>
      <protection/>
    </xf>
    <xf numFmtId="0" fontId="0" fillId="36" borderId="13" xfId="0" applyFill="1" applyBorder="1" applyAlignment="1">
      <alignment horizontal="center" wrapText="1"/>
    </xf>
    <xf numFmtId="0" fontId="30" fillId="0" borderId="25" xfId="43" applyBorder="1" applyAlignment="1" quotePrefix="1">
      <alignment horizontal="left" vertical="top" wrapText="1"/>
      <protection/>
    </xf>
    <xf numFmtId="0" fontId="30" fillId="0" borderId="20" xfId="43" applyBorder="1" applyAlignment="1" quotePrefix="1">
      <alignment horizontal="left" vertical="top" wrapText="1"/>
      <protection/>
    </xf>
    <xf numFmtId="4" fontId="29" fillId="0" borderId="0" xfId="39" applyNumberFormat="1" applyAlignment="1" quotePrefix="1">
      <alignment horizontal="right" vertical="top" wrapText="1"/>
      <protection/>
    </xf>
    <xf numFmtId="0" fontId="0" fillId="0" borderId="0" xfId="0" applyAlignment="1">
      <alignment wrapText="1"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2" xfId="39"/>
    <cellStyle name="S3" xfId="40"/>
    <cellStyle name="S4" xfId="41"/>
    <cellStyle name="S5" xfId="42"/>
    <cellStyle name="S6" xfId="43"/>
    <cellStyle name="S7" xfId="44"/>
    <cellStyle name="S7 2" xfId="45"/>
    <cellStyle name="S8" xfId="46"/>
    <cellStyle name="S9" xfId="47"/>
    <cellStyle name="S9 2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59;&#1089;&#1083;&#1091;&#1075;&#1080;%20&#1046;&#1050;&#1058;%20(&#1079;&#1072;&#1090;&#1088;&#1072;&#1090;&#1099;%20&#1087;&#1086;%20&#1076;&#1086;&#1084;&#1072;&#108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59;&#1089;&#1083;&#1091;&#1075;&#1080;%20&#1046;&#1050;&#1058;%20(&#1079;&#1072;&#1090;&#1088;&#1072;&#1090;&#1099;%20&#1087;&#1086;%20&#1076;&#1086;&#1084;&#1072;&#1084;)%20(version%201)%20(&#1042;&#1086;&#1089;&#1089;&#1090;&#1072;&#1085;&#1086;&#1074;&#1083;&#1077;&#1085;&#1085;&#1099;&#1081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72;&#1095;&#1080;&#1089;&#1083;&#1077;&#1085;&#1086;%20&#1087;&#1086;&#1083;&#1091;&#1095;&#1077;&#1085;&#1086;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198">
          <cell r="J198">
            <v>164.5080442475163</v>
          </cell>
        </row>
        <row r="211">
          <cell r="J211">
            <v>57.61003152965285</v>
          </cell>
        </row>
        <row r="264">
          <cell r="J264">
            <v>70.89432176238583</v>
          </cell>
        </row>
        <row r="277">
          <cell r="J277">
            <v>835.5001207362125</v>
          </cell>
        </row>
        <row r="323">
          <cell r="J323">
            <v>99.97549482510472</v>
          </cell>
        </row>
        <row r="535">
          <cell r="J535">
            <v>396.71950390079024</v>
          </cell>
        </row>
        <row r="565">
          <cell r="J565">
            <v>508.58501433463834</v>
          </cell>
        </row>
        <row r="677">
          <cell r="J677">
            <v>786.6130943054591</v>
          </cell>
        </row>
        <row r="721">
          <cell r="J721">
            <v>4486.303059044766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960">
          <cell r="J960">
            <v>1535.2004130751782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73">
          <cell r="B73">
            <v>853322.0000000002</v>
          </cell>
          <cell r="C73">
            <v>841260.9199999999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="110" zoomScaleNormal="110" zoomScalePageLayoutView="0" workbookViewId="0" topLeftCell="A37">
      <selection activeCell="B45" sqref="B45:D45"/>
    </sheetView>
  </sheetViews>
  <sheetFormatPr defaultColWidth="9.140625" defaultRowHeight="15"/>
  <cols>
    <col min="1" max="1" width="0.85546875" style="1" customWidth="1"/>
    <col min="2" max="2" width="41.00390625" style="1" customWidth="1"/>
    <col min="3" max="3" width="30.57421875" style="1" customWidth="1"/>
    <col min="4" max="4" width="11.421875" style="1" customWidth="1"/>
    <col min="5" max="5" width="13.140625" style="13" customWidth="1"/>
    <col min="6" max="6" width="10.8515625" style="1" customWidth="1"/>
    <col min="7" max="7" width="3.7109375" style="1" customWidth="1"/>
    <col min="8" max="16384" width="9.140625" style="1" customWidth="1"/>
  </cols>
  <sheetData>
    <row r="1" spans="1:5" s="19" customFormat="1" ht="24" customHeight="1">
      <c r="A1" s="53" t="s">
        <v>37</v>
      </c>
      <c r="B1" s="53"/>
      <c r="C1" s="53"/>
      <c r="D1" s="53"/>
      <c r="E1" s="53"/>
    </row>
    <row r="2" ht="12" customHeight="1">
      <c r="B2" s="3" t="s">
        <v>0</v>
      </c>
    </row>
    <row r="3" spans="2:12" ht="21" customHeight="1">
      <c r="B3" s="54" t="s">
        <v>1</v>
      </c>
      <c r="C3" s="55"/>
      <c r="D3" s="55"/>
      <c r="E3" s="24" t="s">
        <v>48</v>
      </c>
      <c r="H3" s="56" t="s">
        <v>44</v>
      </c>
      <c r="I3" s="56"/>
      <c r="J3" s="56"/>
      <c r="K3" s="56"/>
      <c r="L3" s="56"/>
    </row>
    <row r="4" spans="2:12" ht="15" customHeight="1" thickBot="1">
      <c r="B4" s="51" t="s">
        <v>27</v>
      </c>
      <c r="C4" s="52"/>
      <c r="D4" s="52"/>
      <c r="E4" s="52"/>
      <c r="H4" s="23" t="s">
        <v>17</v>
      </c>
      <c r="I4" s="23" t="s">
        <v>45</v>
      </c>
      <c r="J4" s="23" t="s">
        <v>33</v>
      </c>
      <c r="K4" s="23" t="s">
        <v>46</v>
      </c>
      <c r="L4" s="23" t="s">
        <v>47</v>
      </c>
    </row>
    <row r="5" spans="2:12" ht="12" customHeight="1" hidden="1" thickBot="1">
      <c r="B5" s="36" t="s">
        <v>16</v>
      </c>
      <c r="C5" s="37"/>
      <c r="D5" s="37"/>
      <c r="E5" s="12"/>
      <c r="H5" s="4" t="s">
        <v>17</v>
      </c>
      <c r="I5" s="4" t="s">
        <v>18</v>
      </c>
      <c r="J5" s="4" t="s">
        <v>19</v>
      </c>
      <c r="K5" s="4" t="s">
        <v>20</v>
      </c>
      <c r="L5" s="5" t="s">
        <v>21</v>
      </c>
    </row>
    <row r="6" spans="2:12" ht="24" customHeight="1" thickBot="1">
      <c r="B6" s="36" t="s">
        <v>28</v>
      </c>
      <c r="C6" s="37"/>
      <c r="D6" s="37"/>
      <c r="E6" s="12">
        <f>2.05*J6*12+J6*2*2.05+2.05*4*J6*2</f>
        <v>50088.05999999999</v>
      </c>
      <c r="H6" s="6">
        <v>90</v>
      </c>
      <c r="I6" s="6">
        <v>4402.7</v>
      </c>
      <c r="J6" s="6">
        <v>1110.6</v>
      </c>
      <c r="K6" s="6">
        <f>J6</f>
        <v>1110.6</v>
      </c>
      <c r="L6" s="7">
        <v>68</v>
      </c>
    </row>
    <row r="7" spans="2:5" ht="36" customHeight="1">
      <c r="B7" s="36" t="s">
        <v>22</v>
      </c>
      <c r="C7" s="37"/>
      <c r="D7" s="37"/>
      <c r="E7" s="12">
        <f>(I6*2.05*2)</f>
        <v>18051.069999999996</v>
      </c>
    </row>
    <row r="8" spans="2:5" ht="12" customHeight="1">
      <c r="B8" s="36" t="s">
        <v>23</v>
      </c>
      <c r="C8" s="37"/>
      <c r="D8" s="37"/>
      <c r="E8" s="12">
        <f>I6*2.05*2</f>
        <v>18051.069999999996</v>
      </c>
    </row>
    <row r="9" spans="2:5" ht="12" customHeight="1" hidden="1">
      <c r="B9" s="36" t="s">
        <v>24</v>
      </c>
      <c r="C9" s="37"/>
      <c r="D9" s="37"/>
      <c r="E9" s="12"/>
    </row>
    <row r="10" spans="2:5" ht="26.25" customHeight="1">
      <c r="B10" s="36" t="s">
        <v>25</v>
      </c>
      <c r="C10" s="37"/>
      <c r="D10" s="37"/>
      <c r="E10" s="12">
        <f>(3*121.53*2*I6/1000)*3</f>
        <v>9631.082358</v>
      </c>
    </row>
    <row r="11" spans="2:5" ht="15">
      <c r="B11" s="36" t="s">
        <v>10</v>
      </c>
      <c r="C11" s="37"/>
      <c r="D11" s="37"/>
      <c r="E11" s="12">
        <f>12*I6*0.83</f>
        <v>43850.89199999999</v>
      </c>
    </row>
    <row r="12" spans="2:5" ht="12" customHeight="1">
      <c r="B12" s="36" t="s">
        <v>12</v>
      </c>
      <c r="C12" s="37"/>
      <c r="D12" s="37"/>
      <c r="E12" s="12">
        <f>12*I6*6.05</f>
        <v>319636.01999999996</v>
      </c>
    </row>
    <row r="13" spans="2:5" ht="12" customHeight="1">
      <c r="B13" s="36" t="s">
        <v>13</v>
      </c>
      <c r="C13" s="37"/>
      <c r="D13" s="37"/>
      <c r="E13" s="12">
        <f>1*L6*286.7*2</f>
        <v>38991.2</v>
      </c>
    </row>
    <row r="14" spans="2:5" ht="12" customHeight="1">
      <c r="B14" s="36" t="s">
        <v>11</v>
      </c>
      <c r="C14" s="37"/>
      <c r="D14" s="37"/>
      <c r="E14" s="12">
        <f>12*I6*0.54</f>
        <v>28529.496</v>
      </c>
    </row>
    <row r="15" spans="2:5" ht="12" customHeight="1">
      <c r="B15" s="48" t="s">
        <v>15</v>
      </c>
      <c r="C15" s="49"/>
      <c r="D15" s="49"/>
      <c r="E15" s="12">
        <v>10000</v>
      </c>
    </row>
    <row r="16" spans="2:5" ht="6" customHeight="1">
      <c r="B16" s="38" t="s">
        <v>14</v>
      </c>
      <c r="C16" s="39"/>
      <c r="D16" s="39"/>
      <c r="E16" s="47">
        <f>12*I6*0.77</f>
        <v>40680.948</v>
      </c>
    </row>
    <row r="17" spans="2:5" ht="6" customHeight="1">
      <c r="B17" s="40"/>
      <c r="C17" s="41"/>
      <c r="D17" s="41"/>
      <c r="E17" s="47"/>
    </row>
    <row r="18" spans="2:5" ht="6" customHeight="1">
      <c r="B18" s="38" t="s">
        <v>26</v>
      </c>
      <c r="C18" s="39"/>
      <c r="D18" s="39"/>
      <c r="E18" s="47">
        <f>12*I6*1.36</f>
        <v>71852.064</v>
      </c>
    </row>
    <row r="19" spans="2:5" ht="6" customHeight="1">
      <c r="B19" s="40"/>
      <c r="C19" s="41"/>
      <c r="D19" s="41"/>
      <c r="E19" s="47"/>
    </row>
    <row r="20" spans="2:5" s="30" customFormat="1" ht="12" customHeight="1">
      <c r="B20" s="45" t="s">
        <v>31</v>
      </c>
      <c r="C20" s="46"/>
      <c r="D20" s="46"/>
      <c r="E20" s="31">
        <v>2100</v>
      </c>
    </row>
    <row r="21" spans="2:5" ht="12" customHeight="1">
      <c r="B21" s="45" t="s">
        <v>29</v>
      </c>
      <c r="C21" s="46"/>
      <c r="D21" s="46"/>
      <c r="E21" s="12">
        <f>12*I6*0.37</f>
        <v>19547.987999999998</v>
      </c>
    </row>
    <row r="22" spans="2:5" ht="12" customHeight="1">
      <c r="B22" s="45" t="s">
        <v>30</v>
      </c>
      <c r="C22" s="46"/>
      <c r="D22" s="46"/>
      <c r="E22" s="12">
        <f>H6*2*70%*2*137.35*0.38</f>
        <v>13152.635999999999</v>
      </c>
    </row>
    <row r="23" spans="2:5" ht="12" customHeight="1">
      <c r="B23" s="45" t="s">
        <v>32</v>
      </c>
      <c r="C23" s="46"/>
      <c r="D23" s="46"/>
      <c r="E23" s="12">
        <f>H6*70%*2*137.35*0.38</f>
        <v>6576.317999999999</v>
      </c>
    </row>
    <row r="24" spans="2:5" ht="12" customHeight="1">
      <c r="B24" s="57" t="s">
        <v>2</v>
      </c>
      <c r="C24" s="58"/>
      <c r="D24" s="58"/>
      <c r="E24" s="27">
        <f>68.68*14</f>
        <v>961.5200000000001</v>
      </c>
    </row>
    <row r="25" spans="2:5" ht="12" customHeight="1">
      <c r="B25" s="50" t="s">
        <v>3</v>
      </c>
      <c r="C25" s="50"/>
      <c r="D25" s="50"/>
      <c r="E25" s="15">
        <f>68.68*22</f>
        <v>1510.96</v>
      </c>
    </row>
    <row r="26" spans="2:5" ht="12" customHeight="1">
      <c r="B26" s="50" t="s">
        <v>4</v>
      </c>
      <c r="C26" s="50"/>
      <c r="D26" s="50"/>
      <c r="E26" s="15">
        <f>68.68*17</f>
        <v>1167.5600000000002</v>
      </c>
    </row>
    <row r="27" spans="2:5" s="35" customFormat="1" ht="12" customHeight="1">
      <c r="B27" s="42" t="s">
        <v>42</v>
      </c>
      <c r="C27" s="42"/>
      <c r="D27" s="42"/>
      <c r="E27" s="26">
        <f>112.6*1</f>
        <v>112.6</v>
      </c>
    </row>
    <row r="28" spans="2:5" s="35" customFormat="1" ht="12" customHeight="1">
      <c r="B28" s="42" t="s">
        <v>56</v>
      </c>
      <c r="C28" s="42"/>
      <c r="D28" s="42"/>
      <c r="E28" s="29">
        <f>2*'[2]на июль 15г'!$J$960</f>
        <v>3070.4008261503564</v>
      </c>
    </row>
    <row r="29" spans="2:5" s="35" customFormat="1" ht="11.25" customHeight="1">
      <c r="B29" s="42" t="s">
        <v>52</v>
      </c>
      <c r="C29" s="42"/>
      <c r="D29" s="42"/>
      <c r="E29" s="29">
        <f>2*'[1]на июль 15г'!$J$277</f>
        <v>1671.000241472425</v>
      </c>
    </row>
    <row r="30" spans="2:5" s="35" customFormat="1" ht="12" customHeight="1">
      <c r="B30" s="42" t="s">
        <v>53</v>
      </c>
      <c r="C30" s="42"/>
      <c r="D30" s="42"/>
      <c r="E30" s="29">
        <f>1*'[1]на июль 15г'!$J$277</f>
        <v>835.5001207362125</v>
      </c>
    </row>
    <row r="31" spans="2:5" s="35" customFormat="1" ht="14.25" customHeight="1">
      <c r="B31" s="42" t="s">
        <v>55</v>
      </c>
      <c r="C31" s="42"/>
      <c r="D31" s="42"/>
      <c r="E31" s="28">
        <f>21*'[1]на июль 15г'!$J$198</f>
        <v>3454.6689291978423</v>
      </c>
    </row>
    <row r="32" spans="2:5" s="35" customFormat="1" ht="12" customHeight="1">
      <c r="B32" s="42" t="s">
        <v>34</v>
      </c>
      <c r="C32" s="42"/>
      <c r="D32" s="42"/>
      <c r="E32" s="29">
        <f>4*'[1]на июль 15г'!$J$323</f>
        <v>399.9019793004189</v>
      </c>
    </row>
    <row r="33" spans="2:5" s="35" customFormat="1" ht="14.25" customHeight="1">
      <c r="B33" s="42" t="s">
        <v>6</v>
      </c>
      <c r="C33" s="42"/>
      <c r="D33" s="42"/>
      <c r="E33" s="28">
        <f>69*'[1]на июль 15г'!$J$211</f>
        <v>3975.0921755460467</v>
      </c>
    </row>
    <row r="34" spans="2:5" s="35" customFormat="1" ht="14.25" customHeight="1">
      <c r="B34" s="42" t="s">
        <v>51</v>
      </c>
      <c r="C34" s="42"/>
      <c r="D34" s="42"/>
      <c r="E34" s="28">
        <f>10*'[1]на июль 15г'!$J$211</f>
        <v>576.1003152965285</v>
      </c>
    </row>
    <row r="35" spans="2:5" s="35" customFormat="1" ht="12" customHeight="1">
      <c r="B35" s="42" t="s">
        <v>5</v>
      </c>
      <c r="C35" s="42"/>
      <c r="D35" s="42"/>
      <c r="E35" s="29">
        <f>5*'[1]на июль 15г'!$J$264</f>
        <v>354.4716088119292</v>
      </c>
    </row>
    <row r="36" spans="2:5" s="18" customFormat="1" ht="12" customHeight="1">
      <c r="B36" s="42" t="s">
        <v>38</v>
      </c>
      <c r="C36" s="42"/>
      <c r="D36" s="42"/>
      <c r="E36" s="29">
        <f>2*'[1]на июль 15г'!$J$677</f>
        <v>1573.2261886109181</v>
      </c>
    </row>
    <row r="37" spans="2:5" s="18" customFormat="1" ht="12" customHeight="1">
      <c r="B37" s="42" t="s">
        <v>41</v>
      </c>
      <c r="C37" s="42"/>
      <c r="D37" s="42"/>
      <c r="E37" s="29">
        <f>2*'[1]на июль 15г'!$J$721</f>
        <v>8972.606118089532</v>
      </c>
    </row>
    <row r="38" spans="2:7" s="18" customFormat="1" ht="15.75" customHeight="1">
      <c r="B38" s="42" t="s">
        <v>40</v>
      </c>
      <c r="C38" s="42"/>
      <c r="D38" s="42"/>
      <c r="E38" s="29">
        <f>4.5*'[1]на июль 15г'!$J$565</f>
        <v>2288.6325645058723</v>
      </c>
      <c r="F38" s="17"/>
      <c r="G38" s="16"/>
    </row>
    <row r="39" spans="2:7" s="18" customFormat="1" ht="12" customHeight="1">
      <c r="B39" s="42" t="s">
        <v>39</v>
      </c>
      <c r="C39" s="42"/>
      <c r="D39" s="42"/>
      <c r="E39" s="29">
        <f>4.5*'[1]на июль 15г'!$J$535</f>
        <v>1785.237767553556</v>
      </c>
      <c r="F39" s="17"/>
      <c r="G39" s="16"/>
    </row>
    <row r="40" spans="2:5" s="19" customFormat="1" ht="14.25" customHeight="1">
      <c r="B40" s="42" t="s">
        <v>8</v>
      </c>
      <c r="C40" s="42"/>
      <c r="D40" s="42"/>
      <c r="E40" s="26">
        <f>635.88+1890.86+1823.57</f>
        <v>4350.3099999999995</v>
      </c>
    </row>
    <row r="41" spans="2:5" s="20" customFormat="1" ht="12" customHeight="1">
      <c r="B41" s="42" t="s">
        <v>9</v>
      </c>
      <c r="C41" s="42"/>
      <c r="D41" s="42"/>
      <c r="E41" s="28">
        <v>874.07</v>
      </c>
    </row>
    <row r="42" spans="2:5" s="21" customFormat="1" ht="12" customHeight="1">
      <c r="B42" s="42" t="s">
        <v>49</v>
      </c>
      <c r="C42" s="42"/>
      <c r="D42" s="42"/>
      <c r="E42" s="32">
        <v>8351.33</v>
      </c>
    </row>
    <row r="43" spans="2:5" s="25" customFormat="1" ht="12" customHeight="1">
      <c r="B43" s="42" t="s">
        <v>54</v>
      </c>
      <c r="C43" s="42"/>
      <c r="D43" s="42"/>
      <c r="E43" s="28">
        <v>744</v>
      </c>
    </row>
    <row r="44" spans="2:5" s="22" customFormat="1" ht="12" customHeight="1">
      <c r="B44" s="42" t="s">
        <v>36</v>
      </c>
      <c r="C44" s="42"/>
      <c r="D44" s="42"/>
      <c r="E44" s="32">
        <v>1423.07</v>
      </c>
    </row>
    <row r="45" spans="2:5" ht="12" customHeight="1">
      <c r="B45" s="42" t="s">
        <v>50</v>
      </c>
      <c r="C45" s="42"/>
      <c r="D45" s="42"/>
      <c r="E45" s="33">
        <v>509</v>
      </c>
    </row>
    <row r="46" spans="2:5" ht="12" customHeight="1">
      <c r="B46" s="9"/>
      <c r="C46" s="9"/>
      <c r="D46" s="9"/>
      <c r="E46" s="14">
        <f>SUM(E5:E45)</f>
        <v>739700.1031932714</v>
      </c>
    </row>
    <row r="47" spans="3:5" ht="12" customHeight="1">
      <c r="C47" s="11" t="s">
        <v>35</v>
      </c>
      <c r="D47" s="43">
        <f>'[3]Лист1'!$B$73</f>
        <v>853322.0000000002</v>
      </c>
      <c r="E47" s="44"/>
    </row>
    <row r="48" spans="3:5" ht="12" customHeight="1">
      <c r="C48" s="2" t="s">
        <v>7</v>
      </c>
      <c r="D48" s="59">
        <f>'[3]Лист1'!$C$73</f>
        <v>841260.9199999999</v>
      </c>
      <c r="E48" s="60"/>
    </row>
    <row r="49" spans="3:6" ht="12" customHeight="1">
      <c r="C49" s="11" t="s">
        <v>43</v>
      </c>
      <c r="D49" s="10"/>
      <c r="E49" s="34">
        <f>E46</f>
        <v>739700.1031932714</v>
      </c>
      <c r="F49" s="8"/>
    </row>
  </sheetData>
  <sheetProtection password="CCF3" sheet="1" objects="1" scenarios="1" selectLockedCells="1" selectUnlockedCells="1"/>
  <mergeCells count="47">
    <mergeCell ref="B41:D41"/>
    <mergeCell ref="H3:L3"/>
    <mergeCell ref="B37:D37"/>
    <mergeCell ref="B23:D23"/>
    <mergeCell ref="B24:D24"/>
    <mergeCell ref="D48:E48"/>
    <mergeCell ref="B22:D22"/>
    <mergeCell ref="B28:D28"/>
    <mergeCell ref="B25:D25"/>
    <mergeCell ref="B34:D34"/>
    <mergeCell ref="B45:D45"/>
    <mergeCell ref="B5:D5"/>
    <mergeCell ref="B7:D7"/>
    <mergeCell ref="B8:D8"/>
    <mergeCell ref="B4:E4"/>
    <mergeCell ref="A1:E1"/>
    <mergeCell ref="E16:E17"/>
    <mergeCell ref="B3:D3"/>
    <mergeCell ref="B20:D20"/>
    <mergeCell ref="E18:E19"/>
    <mergeCell ref="B36:D36"/>
    <mergeCell ref="B38:D38"/>
    <mergeCell ref="B18:D19"/>
    <mergeCell ref="B21:D21"/>
    <mergeCell ref="B27:D27"/>
    <mergeCell ref="B26:D26"/>
    <mergeCell ref="B31:D31"/>
    <mergeCell ref="B30:D30"/>
    <mergeCell ref="B44:D44"/>
    <mergeCell ref="D47:E47"/>
    <mergeCell ref="B35:D35"/>
    <mergeCell ref="B32:D32"/>
    <mergeCell ref="B29:D29"/>
    <mergeCell ref="B43:D43"/>
    <mergeCell ref="B42:D42"/>
    <mergeCell ref="B39:D39"/>
    <mergeCell ref="B40:D40"/>
    <mergeCell ref="B33:D33"/>
    <mergeCell ref="B6:D6"/>
    <mergeCell ref="B9:D9"/>
    <mergeCell ref="B12:D12"/>
    <mergeCell ref="B13:D13"/>
    <mergeCell ref="B14:D14"/>
    <mergeCell ref="B16:D17"/>
    <mergeCell ref="B11:D11"/>
    <mergeCell ref="B10:D10"/>
    <mergeCell ref="B15:D15"/>
  </mergeCells>
  <printOptions/>
  <pageMargins left="0.3611111111111111" right="0.14444444444444446" top="0.3611111111111111" bottom="0.361111111111111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</dc:creator>
  <cp:keywords/>
  <dc:description/>
  <cp:lastModifiedBy>User</cp:lastModifiedBy>
  <cp:lastPrinted>2020-03-19T03:26:36Z</cp:lastPrinted>
  <dcterms:created xsi:type="dcterms:W3CDTF">2018-02-22T04:59:03Z</dcterms:created>
  <dcterms:modified xsi:type="dcterms:W3CDTF">2020-03-27T03:13:29Z</dcterms:modified>
  <cp:category/>
  <cp:version/>
  <cp:contentType/>
  <cp:contentStatus/>
</cp:coreProperties>
</file>