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<sst xmlns="http://schemas.openxmlformats.org/spreadsheetml/2006/main" count="59" uniqueCount="58">
  <si>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</si>
  <si>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</si>
  <si>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</si>
  <si>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</si>
  <si>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</si>
  <si>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</si>
  <si>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</si>
  <si>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</si>
  <si>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</si>
  <si>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</si>
  <si>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</si>
  <si>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</si>
  <si>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</si>
  <si>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</si>
  <si>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</si>
  <si>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</si>
  <si>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</si>
  <si>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</si>
  <si>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</si>
  <si>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</si>
  <si>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</si>
  <si>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</si>
  <si>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</si>
  <si>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</si>
  <si>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</si>
  <si>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</si>
  <si>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</si>
  <si>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</si>
  <si>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9-е ЯНВАРЯ, 2а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</si>
  <si>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</si>
  <si>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</si>
  <si>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</si>
  <si>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</si>
  <si>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</si>
  <si>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</si>
  <si>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</si>
  <si>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Начислено по дому:</t>
  </si>
  <si>
    <t>Замена отметов</t>
  </si>
  <si>
    <t>Отчет о работах, выполненных за период с Января 2019 г. по Декабрь 2019 г.</t>
  </si>
  <si>
    <t>Прокладка кабеля АВВГ 2*2,5</t>
  </si>
  <si>
    <t>Смена перил</t>
  </si>
  <si>
    <t>Замена дверей с перегородкой</t>
  </si>
  <si>
    <t xml:space="preserve">Ремонт водосточных труб 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</si>
  <si>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</si>
  <si>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</si>
  <si>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</si>
  <si>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</si>
  <si>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</si>
  <si>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</si>
  <si>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</si>
  <si>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датчиков движения</t>
  </si>
  <si>
    <t>Установка почтовых ящиков, 1 подъезд</t>
  </si>
  <si>
    <t>Замена автоматических выключателей</t>
  </si>
  <si>
    <t>Ремонт подъездов 2,3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</si>
  <si>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</si>
  <si>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</si>
  <si>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внутренних канализационных трубопроводов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</si>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</sst>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0" xfId="76" applyFont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29" fillId="20" borderId="17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0" fillId="0" borderId="12" xfId="37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4" fontId="29" fillId="0" borderId="19" xfId="47" applyNumberFormat="1" applyBorder="1" applyAlignment="1" quotePrefix="1">
      <alignment horizontal="right" vertical="top" wrapText="1"/>
      <protection/>
    </xf>
    <xf numFmtId="0" fontId="0" fillId="0" borderId="19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84">
          <cell r="J484">
            <v>1304.1603838424317</v>
          </cell>
        </row>
        <row r="677">
          <cell r="J677">
            <v>786.6130943054591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495383.87999999995</v>
          </cell>
          <cell r="C11">
            <v>484992.2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0" zoomScaleNormal="110" zoomScalePageLayoutView="0" workbookViewId="0" topLeftCell="A1">
      <selection activeCell="B46" sqref="B46:D46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19" customFormat="1" ht="24" customHeight="1">
      <c r="A1" s="56" t="s">
        <v>38</v>
      </c>
      <c r="B1" s="56"/>
      <c r="C1" s="56"/>
      <c r="D1" s="56"/>
      <c r="E1" s="56"/>
    </row>
    <row r="2" spans="2:5" s="4" customFormat="1" ht="12" customHeight="1">
      <c r="B2" s="3" t="s">
        <v>0</v>
      </c>
      <c r="E2" s="9"/>
    </row>
    <row r="3" spans="2:12" ht="21" customHeight="1">
      <c r="B3" s="54" t="s">
        <v>1</v>
      </c>
      <c r="C3" s="55"/>
      <c r="D3" s="55"/>
      <c r="E3" s="23" t="s">
        <v>48</v>
      </c>
      <c r="H3" s="38" t="s">
        <v>44</v>
      </c>
      <c r="I3" s="38"/>
      <c r="J3" s="38"/>
      <c r="K3" s="38"/>
      <c r="L3" s="38"/>
    </row>
    <row r="4" spans="2:12" ht="15" customHeight="1" thickBot="1">
      <c r="B4" s="41" t="s">
        <v>28</v>
      </c>
      <c r="C4" s="42"/>
      <c r="D4" s="42"/>
      <c r="E4" s="42"/>
      <c r="H4" s="22" t="s">
        <v>18</v>
      </c>
      <c r="I4" s="22" t="s">
        <v>45</v>
      </c>
      <c r="J4" s="22" t="s">
        <v>35</v>
      </c>
      <c r="K4" s="22" t="s">
        <v>46</v>
      </c>
      <c r="L4" s="22" t="s">
        <v>47</v>
      </c>
    </row>
    <row r="5" spans="2:12" ht="12" customHeight="1" hidden="1" thickBot="1">
      <c r="B5" s="45" t="s">
        <v>17</v>
      </c>
      <c r="C5" s="46"/>
      <c r="D5" s="46"/>
      <c r="E5" s="10"/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2:12" ht="23.25" customHeight="1" thickBot="1">
      <c r="B6" s="45" t="s">
        <v>29</v>
      </c>
      <c r="C6" s="46"/>
      <c r="D6" s="46"/>
      <c r="E6" s="10">
        <f>2.05*J6*12+J6*2*2.05+2.05*4*J6*2</f>
        <v>28954.199999999997</v>
      </c>
      <c r="H6" s="7">
        <v>59</v>
      </c>
      <c r="I6" s="7">
        <v>2555.9</v>
      </c>
      <c r="J6" s="7">
        <v>642</v>
      </c>
      <c r="K6" s="7">
        <v>642</v>
      </c>
      <c r="L6" s="8">
        <v>42</v>
      </c>
    </row>
    <row r="7" spans="2:5" ht="36" customHeight="1">
      <c r="B7" s="45" t="s">
        <v>23</v>
      </c>
      <c r="C7" s="46"/>
      <c r="D7" s="46"/>
      <c r="E7" s="10">
        <f>(I6*2.05*2)</f>
        <v>10479.189999999999</v>
      </c>
    </row>
    <row r="8" spans="2:5" ht="12" customHeight="1">
      <c r="B8" s="45" t="s">
        <v>24</v>
      </c>
      <c r="C8" s="46"/>
      <c r="D8" s="46"/>
      <c r="E8" s="10">
        <f>I6*2.05*2</f>
        <v>10479.189999999999</v>
      </c>
    </row>
    <row r="9" spans="2:5" ht="12" customHeight="1" hidden="1">
      <c r="B9" s="45" t="s">
        <v>25</v>
      </c>
      <c r="C9" s="46"/>
      <c r="D9" s="46"/>
      <c r="E9" s="10"/>
    </row>
    <row r="10" spans="2:5" ht="24" customHeight="1">
      <c r="B10" s="45" t="s">
        <v>26</v>
      </c>
      <c r="C10" s="46"/>
      <c r="D10" s="46"/>
      <c r="E10" s="10">
        <f>(3*121.53*2*I6/1000)*3</f>
        <v>5591.133486000001</v>
      </c>
    </row>
    <row r="11" spans="2:5" ht="12" customHeight="1">
      <c r="B11" s="52" t="s">
        <v>8</v>
      </c>
      <c r="C11" s="53"/>
      <c r="D11" s="53"/>
      <c r="E11" s="27">
        <f>12*I6*0.83</f>
        <v>25456.764000000003</v>
      </c>
    </row>
    <row r="12" spans="2:5" ht="12" customHeight="1">
      <c r="B12" s="40" t="s">
        <v>10</v>
      </c>
      <c r="C12" s="40"/>
      <c r="D12" s="40"/>
      <c r="E12" s="26">
        <f>12*I6*6.05</f>
        <v>185558.34000000003</v>
      </c>
    </row>
    <row r="13" spans="2:5" ht="12" customHeight="1">
      <c r="B13" s="40" t="s">
        <v>11</v>
      </c>
      <c r="C13" s="40"/>
      <c r="D13" s="40"/>
      <c r="E13" s="26">
        <f>1*L6*286.7*2</f>
        <v>24082.8</v>
      </c>
    </row>
    <row r="14" spans="2:5" ht="12" customHeight="1">
      <c r="B14" s="40" t="s">
        <v>9</v>
      </c>
      <c r="C14" s="40"/>
      <c r="D14" s="40"/>
      <c r="E14" s="26">
        <f>12*I6*0.54</f>
        <v>16562.232000000004</v>
      </c>
    </row>
    <row r="15" spans="2:5" ht="12" customHeight="1">
      <c r="B15" s="44" t="s">
        <v>13</v>
      </c>
      <c r="C15" s="44"/>
      <c r="D15" s="44"/>
      <c r="E15" s="26">
        <v>2500</v>
      </c>
    </row>
    <row r="16" spans="2:5" ht="6" customHeight="1">
      <c r="B16" s="40" t="s">
        <v>12</v>
      </c>
      <c r="C16" s="40"/>
      <c r="D16" s="40"/>
      <c r="E16" s="51">
        <f>12*I6*0.66</f>
        <v>20242.728000000003</v>
      </c>
    </row>
    <row r="17" spans="2:5" ht="6" customHeight="1">
      <c r="B17" s="40"/>
      <c r="C17" s="40"/>
      <c r="D17" s="40"/>
      <c r="E17" s="51"/>
    </row>
    <row r="18" spans="2:5" ht="6" customHeight="1">
      <c r="B18" s="40" t="s">
        <v>27</v>
      </c>
      <c r="C18" s="40"/>
      <c r="D18" s="40"/>
      <c r="E18" s="51">
        <f>12*I6*1.6</f>
        <v>49073.280000000006</v>
      </c>
    </row>
    <row r="19" spans="2:5" ht="6" customHeight="1">
      <c r="B19" s="40"/>
      <c r="C19" s="40"/>
      <c r="D19" s="40"/>
      <c r="E19" s="51"/>
    </row>
    <row r="20" spans="2:5" ht="12" customHeight="1">
      <c r="B20" s="40" t="s">
        <v>30</v>
      </c>
      <c r="C20" s="40"/>
      <c r="D20" s="40"/>
      <c r="E20" s="26">
        <f>12*I6*0.37</f>
        <v>11348.196000000002</v>
      </c>
    </row>
    <row r="21" spans="2:5" ht="12" customHeight="1">
      <c r="B21" s="40" t="s">
        <v>31</v>
      </c>
      <c r="C21" s="40"/>
      <c r="D21" s="40"/>
      <c r="E21" s="26">
        <f>H6*2*70%*2*137.35*0.38</f>
        <v>8622.283599999999</v>
      </c>
    </row>
    <row r="22" spans="2:5" ht="12" customHeight="1">
      <c r="B22" s="40" t="s">
        <v>32</v>
      </c>
      <c r="C22" s="40"/>
      <c r="D22" s="40"/>
      <c r="E22" s="26">
        <f>H6*70%*2*137.35*0.38</f>
        <v>4311.141799999999</v>
      </c>
    </row>
    <row r="23" spans="2:5" ht="12" customHeight="1">
      <c r="B23" s="40" t="s">
        <v>33</v>
      </c>
      <c r="C23" s="40"/>
      <c r="D23" s="40"/>
      <c r="E23" s="18">
        <f>68.68*10</f>
        <v>686.8000000000001</v>
      </c>
    </row>
    <row r="24" spans="2:5" ht="12" customHeight="1">
      <c r="B24" s="40" t="s">
        <v>2</v>
      </c>
      <c r="C24" s="40"/>
      <c r="D24" s="40"/>
      <c r="E24" s="18">
        <f>68.68*17</f>
        <v>1167.5600000000002</v>
      </c>
    </row>
    <row r="25" spans="2:5" ht="12" customHeight="1">
      <c r="B25" s="40" t="s">
        <v>34</v>
      </c>
      <c r="C25" s="40"/>
      <c r="D25" s="40"/>
      <c r="E25" s="18">
        <f>68.68*19</f>
        <v>1304.92</v>
      </c>
    </row>
    <row r="26" spans="2:5" s="31" customFormat="1" ht="13.5" customHeight="1">
      <c r="B26" s="35" t="s">
        <v>6</v>
      </c>
      <c r="C26" s="36"/>
      <c r="D26" s="37"/>
      <c r="E26" s="28">
        <f>2201.44+550.57</f>
        <v>2752.01</v>
      </c>
    </row>
    <row r="27" spans="2:5" s="32" customFormat="1" ht="11.25" customHeight="1">
      <c r="B27" s="57" t="s">
        <v>52</v>
      </c>
      <c r="C27" s="57"/>
      <c r="D27" s="57"/>
      <c r="E27" s="30">
        <f>'[2]на июль 15г'!$J$974*1+'[2]на июль 15г'!$J$290*1</f>
        <v>1281.21936226877</v>
      </c>
    </row>
    <row r="28" spans="2:5" s="32" customFormat="1" ht="12" customHeight="1">
      <c r="B28" s="39" t="s">
        <v>57</v>
      </c>
      <c r="C28" s="43"/>
      <c r="D28" s="43"/>
      <c r="E28" s="30">
        <f>2*'[1]на июль 15г'!$J$333</f>
        <v>1911.3523865643663</v>
      </c>
    </row>
    <row r="29" spans="2:5" s="32" customFormat="1" ht="12" customHeight="1">
      <c r="B29" s="39" t="s">
        <v>50</v>
      </c>
      <c r="C29" s="39"/>
      <c r="D29" s="39"/>
      <c r="E29" s="30">
        <f>2*'[1]на июль 15г'!$J$277</f>
        <v>1671.000241472425</v>
      </c>
    </row>
    <row r="30" spans="2:5" s="32" customFormat="1" ht="14.25" customHeight="1">
      <c r="B30" s="39" t="s">
        <v>39</v>
      </c>
      <c r="C30" s="39"/>
      <c r="D30" s="39"/>
      <c r="E30" s="29">
        <f>54*'[4]на июль 15г'!$J$1057</f>
        <v>6182.08096306843</v>
      </c>
    </row>
    <row r="31" spans="2:5" s="32" customFormat="1" ht="14.25" customHeight="1">
      <c r="B31" s="39" t="s">
        <v>54</v>
      </c>
      <c r="C31" s="39"/>
      <c r="D31" s="39"/>
      <c r="E31" s="30">
        <f>50.89*5</f>
        <v>254.45</v>
      </c>
    </row>
    <row r="32" spans="2:5" s="32" customFormat="1" ht="15" customHeight="1">
      <c r="B32" s="39" t="s">
        <v>55</v>
      </c>
      <c r="C32" s="39"/>
      <c r="D32" s="39"/>
      <c r="E32" s="29">
        <f>27*'[1]на июль 15г'!$J$198</f>
        <v>4441.71719468294</v>
      </c>
    </row>
    <row r="33" spans="2:5" s="32" customFormat="1" ht="12" customHeight="1">
      <c r="B33" s="39" t="s">
        <v>4</v>
      </c>
      <c r="C33" s="39"/>
      <c r="D33" s="39"/>
      <c r="E33" s="29">
        <f>11*'[1]на июль 15г'!$J$211</f>
        <v>633.7103468261813</v>
      </c>
    </row>
    <row r="34" spans="2:5" s="32" customFormat="1" ht="12" customHeight="1">
      <c r="B34" s="39" t="s">
        <v>49</v>
      </c>
      <c r="C34" s="39"/>
      <c r="D34" s="39"/>
      <c r="E34" s="29">
        <f>15*'[1]на июль 15г'!$J$211</f>
        <v>864.1504729447928</v>
      </c>
    </row>
    <row r="35" spans="2:5" s="32" customFormat="1" ht="12" customHeight="1">
      <c r="B35" s="39" t="s">
        <v>3</v>
      </c>
      <c r="C35" s="39"/>
      <c r="D35" s="39"/>
      <c r="E35" s="30">
        <f>1*'[1]на июль 15г'!$J$264</f>
        <v>70.89432176238583</v>
      </c>
    </row>
    <row r="36" spans="2:5" ht="12" customHeight="1">
      <c r="B36" s="39" t="s">
        <v>53</v>
      </c>
      <c r="C36" s="39"/>
      <c r="D36" s="39"/>
      <c r="E36" s="28">
        <v>109914.55</v>
      </c>
    </row>
    <row r="37" spans="2:5" s="25" customFormat="1" ht="12" customHeight="1">
      <c r="B37" s="39" t="s">
        <v>51</v>
      </c>
      <c r="C37" s="39"/>
      <c r="D37" s="39"/>
      <c r="E37" s="28">
        <v>8446.5</v>
      </c>
    </row>
    <row r="38" spans="2:5" s="17" customFormat="1" ht="12" customHeight="1">
      <c r="B38" s="39" t="s">
        <v>40</v>
      </c>
      <c r="C38" s="39"/>
      <c r="D38" s="39"/>
      <c r="E38" s="28">
        <f>3897.17</f>
        <v>3897.17</v>
      </c>
    </row>
    <row r="39" spans="2:5" s="34" customFormat="1" ht="12" customHeight="1">
      <c r="B39" s="39" t="s">
        <v>41</v>
      </c>
      <c r="C39" s="39"/>
      <c r="D39" s="39"/>
      <c r="E39" s="28">
        <v>23429.11</v>
      </c>
    </row>
    <row r="40" spans="2:5" s="20" customFormat="1" ht="12" customHeight="1">
      <c r="B40" s="39" t="s">
        <v>42</v>
      </c>
      <c r="C40" s="43"/>
      <c r="D40" s="43"/>
      <c r="E40" s="28">
        <v>1491.71</v>
      </c>
    </row>
    <row r="41" spans="2:5" s="16" customFormat="1" ht="12" customHeight="1">
      <c r="B41" s="39" t="s">
        <v>7</v>
      </c>
      <c r="C41" s="43"/>
      <c r="D41" s="43"/>
      <c r="E41" s="28">
        <f>735.57+1977.85</f>
        <v>2713.42</v>
      </c>
    </row>
    <row r="42" spans="2:5" s="34" customFormat="1" ht="12.75" customHeight="1">
      <c r="B42" s="35" t="s">
        <v>56</v>
      </c>
      <c r="C42" s="36"/>
      <c r="D42" s="37"/>
      <c r="E42" s="28">
        <f>223.42*9</f>
        <v>2010.78</v>
      </c>
    </row>
    <row r="43" spans="2:5" s="21" customFormat="1" ht="12" customHeight="1">
      <c r="B43" s="39" t="s">
        <v>37</v>
      </c>
      <c r="C43" s="43"/>
      <c r="D43" s="43"/>
      <c r="E43" s="28">
        <v>1710.85</v>
      </c>
    </row>
    <row r="44" spans="2:5" s="25" customFormat="1" ht="12" customHeight="1">
      <c r="B44" s="39" t="s">
        <v>16</v>
      </c>
      <c r="C44" s="43"/>
      <c r="D44" s="43"/>
      <c r="E44" s="30">
        <f>2*('[1]на июль 15г'!$J$677+'[1]на июль 15г'!$J$699)</f>
        <v>4357.70576277048</v>
      </c>
    </row>
    <row r="45" spans="2:5" s="14" customFormat="1" ht="12" customHeight="1">
      <c r="B45" s="39" t="s">
        <v>15</v>
      </c>
      <c r="C45" s="43"/>
      <c r="D45" s="43"/>
      <c r="E45" s="30">
        <f>2*'[1]на июль 15г'!$J$434</f>
        <v>1224.7278445285513</v>
      </c>
    </row>
    <row r="46" spans="2:5" s="24" customFormat="1" ht="12" customHeight="1">
      <c r="B46" s="39" t="s">
        <v>14</v>
      </c>
      <c r="C46" s="43"/>
      <c r="D46" s="43"/>
      <c r="E46" s="30">
        <f>4*'[1]на июль 15г'!$J$484</f>
        <v>5216.641535369727</v>
      </c>
    </row>
    <row r="47" spans="2:5" s="4" customFormat="1" ht="12" customHeight="1">
      <c r="B47" s="11"/>
      <c r="C47" s="11"/>
      <c r="D47" s="11"/>
      <c r="E47" s="13">
        <f>SUM(E5:E46)</f>
        <v>590896.509318259</v>
      </c>
    </row>
    <row r="48" spans="3:5" ht="12" customHeight="1">
      <c r="C48" s="15" t="s">
        <v>36</v>
      </c>
      <c r="D48" s="47">
        <f>'[3]Лист1'!$B$11</f>
        <v>495383.87999999995</v>
      </c>
      <c r="E48" s="48"/>
    </row>
    <row r="49" spans="3:5" ht="12" customHeight="1">
      <c r="C49" s="2" t="s">
        <v>5</v>
      </c>
      <c r="D49" s="49">
        <f>'[3]Лист1'!$C$11</f>
        <v>484992.2</v>
      </c>
      <c r="E49" s="50"/>
    </row>
    <row r="50" spans="3:5" ht="12" customHeight="1">
      <c r="C50" s="15" t="s">
        <v>43</v>
      </c>
      <c r="D50" s="12"/>
      <c r="E50" s="33">
        <f>E47</f>
        <v>590896.509318259</v>
      </c>
    </row>
  </sheetData>
  <sheetProtection password="CCF3" sheet="1" objects="1" scenarios="1" selectLockedCells="1" selectUnlockedCells="1"/>
  <mergeCells count="48">
    <mergeCell ref="B3:D3"/>
    <mergeCell ref="A1:E1"/>
    <mergeCell ref="B32:D32"/>
    <mergeCell ref="B27:D27"/>
    <mergeCell ref="B30:D30"/>
    <mergeCell ref="B37:D37"/>
    <mergeCell ref="B31:D31"/>
    <mergeCell ref="B34:D34"/>
    <mergeCell ref="B26:D26"/>
    <mergeCell ref="B33:D33"/>
    <mergeCell ref="B40:D40"/>
    <mergeCell ref="B44:D44"/>
    <mergeCell ref="E16:E17"/>
    <mergeCell ref="B8:D8"/>
    <mergeCell ref="B9:D9"/>
    <mergeCell ref="E18:E19"/>
    <mergeCell ref="B20:D20"/>
    <mergeCell ref="B21:D21"/>
    <mergeCell ref="B10:D10"/>
    <mergeCell ref="B11:D11"/>
    <mergeCell ref="B45:D45"/>
    <mergeCell ref="D48:E48"/>
    <mergeCell ref="D49:E49"/>
    <mergeCell ref="B23:D23"/>
    <mergeCell ref="B24:D24"/>
    <mergeCell ref="B36:D36"/>
    <mergeCell ref="B41:D41"/>
    <mergeCell ref="B38:D38"/>
    <mergeCell ref="B46:D46"/>
    <mergeCell ref="B39:D39"/>
    <mergeCell ref="B18:D19"/>
    <mergeCell ref="B35:D35"/>
    <mergeCell ref="B16:D17"/>
    <mergeCell ref="B5:D5"/>
    <mergeCell ref="B6:D6"/>
    <mergeCell ref="B7:D7"/>
    <mergeCell ref="B12:D12"/>
    <mergeCell ref="B13:D13"/>
    <mergeCell ref="B42:D42"/>
    <mergeCell ref="H3:L3"/>
    <mergeCell ref="B29:D29"/>
    <mergeCell ref="B14:D14"/>
    <mergeCell ref="B4:E4"/>
    <mergeCell ref="B43:D43"/>
    <mergeCell ref="B28:D28"/>
    <mergeCell ref="B25:D25"/>
    <mergeCell ref="B15:D15"/>
    <mergeCell ref="B22:D2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2020-03-27T02:02:32Z</dcterms:modified>
  <cp:category/>
  <cp:version/>
  <cp:contentType/>
  <cp:contentStatus/>
</cp:coreProperties>
</file>