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calcMode="autoNoTable" fullCalcOnLoad="1"/>
</workbook>
</file>

<file path=xl/sharedStrings.xml><?xml version="1.0" encoding="utf-8"?>
<sst xmlns="http://schemas.openxmlformats.org/spreadsheetml/2006/main" count="59" uniqueCount="58">
  <si>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</si>
  <si>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</si>
  <si>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</si>
  <si>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</si>
  <si>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</si>
  <si>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</si>
  <si>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</si>
  <si>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</si>
  <si>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</si>
  <si>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</si>
  <si>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</si>
  <si>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</si>
  <si>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</si>
  <si>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</si>
  <si>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</si>
  <si>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</si>
  <si>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</si>
  <si>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</si>
  <si>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</si>
  <si>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</si>
  <si>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</si>
  <si>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</si>
  <si>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</si>
  <si>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</si>
  <si>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</si>
  <si>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</si>
  <si>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ШОРНИКОВА, 1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</si>
  <si>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</si>
  <si>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</si>
  <si>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</si>
  <si>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</si>
  <si>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</si>
  <si>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</si>
  <si>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</si>
  <si>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патронов</t>
  </si>
  <si>
    <t>Смена сборки диаметром 15 мм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</si>
  <si>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</si>
  <si>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110 мм</t>
  </si>
  <si>
    <t>Прокладка внутренних трубопроводов канализации из полипропил.труб диаметром: 110 мм</t>
  </si>
  <si>
    <t>Смена задвижек диаметром: 80 мм</t>
  </si>
  <si>
    <t>Замена светодиодных прожекторов</t>
  </si>
  <si>
    <t>Прокладка кабеля АВВГ 2*2,5</t>
  </si>
  <si>
    <t>Смена ламп: люминесцентных</t>
  </si>
  <si>
    <t>Ремонт водосточных труб</t>
  </si>
  <si>
    <t>Итого затрачено по дому:</t>
  </si>
  <si>
    <t xml:space="preserve">Начислено по дому: </t>
  </si>
  <si>
    <t>Количество</t>
  </si>
  <si>
    <t xml:space="preserve">общая площадь </t>
  </si>
  <si>
    <t>чердак</t>
  </si>
  <si>
    <t>стояки</t>
  </si>
  <si>
    <t>Сумма</t>
  </si>
  <si>
    <t>Смена ламп: светодиодных</t>
  </si>
  <si>
    <t>Замена фотореле</t>
  </si>
  <si>
    <t>Замена датчиков движения</t>
  </si>
  <si>
    <t>Установка пружин на тамбурные двери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</si>
  <si>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</si>
  <si>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</si>
  <si>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 xml:space="preserve">Предохранитель, устанавливаемый на изоляционном основании, на ток: до 100 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</si>
</sst>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50" fillId="35" borderId="10" xfId="0" applyFont="1" applyFill="1" applyBorder="1" applyAlignment="1">
      <alignment wrapText="1"/>
    </xf>
    <xf numFmtId="0" fontId="50" fillId="35" borderId="10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1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12" xfId="39" applyNumberFormat="1" applyBorder="1" applyAlignment="1" quotePrefix="1">
      <alignment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39" fillId="35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0" fillId="0" borderId="11" xfId="42" applyNumberFormat="1" applyBorder="1" applyAlignment="1" quotePrefix="1">
      <alignment horizontal="right" vertical="center" wrapText="1"/>
      <protection/>
    </xf>
    <xf numFmtId="0" fontId="29" fillId="21" borderId="11" xfId="41" applyBorder="1" applyAlignment="1" quotePrefix="1">
      <alignment horizontal="center" vertical="center" wrapText="1"/>
      <protection/>
    </xf>
    <xf numFmtId="0" fontId="0" fillId="0" borderId="1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30" fillId="0" borderId="11" xfId="42" applyNumberFormat="1" applyBorder="1" applyAlignment="1" quotePrefix="1">
      <alignment horizontal="right" vertical="center" wrapText="1"/>
      <protection/>
    </xf>
    <xf numFmtId="0" fontId="30" fillId="0" borderId="11" xfId="42" applyNumberFormat="1" applyFont="1" applyFill="1" applyBorder="1" applyAlignment="1" quotePrefix="1">
      <alignment horizontal="right" vertical="center" wrapText="1"/>
      <protection/>
    </xf>
    <xf numFmtId="2" fontId="30" fillId="0" borderId="11" xfId="42" applyNumberFormat="1" applyFont="1" applyFill="1" applyBorder="1" applyAlignment="1" quotePrefix="1">
      <alignment horizontal="right" vertical="center" wrapText="1"/>
      <protection/>
    </xf>
    <xf numFmtId="43" fontId="30" fillId="0" borderId="11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35" borderId="0" xfId="0" applyFill="1" applyAlignment="1">
      <alignment wrapText="1"/>
    </xf>
    <xf numFmtId="171" fontId="50" fillId="0" borderId="12" xfId="76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35" borderId="0" xfId="0" applyFill="1" applyAlignment="1">
      <alignment wrapText="1"/>
    </xf>
    <xf numFmtId="0" fontId="30" fillId="0" borderId="11" xfId="43" applyFont="1" applyFill="1" applyBorder="1" applyAlignment="1" quotePrefix="1">
      <alignment horizontal="left" vertical="top" wrapText="1"/>
      <protection/>
    </xf>
    <xf numFmtId="0" fontId="0" fillId="0" borderId="11" xfId="0" applyFont="1" applyFill="1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4" fontId="29" fillId="0" borderId="13" xfId="47" applyNumberFormat="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28" fillId="35" borderId="0" xfId="33" applyFill="1" applyAlignment="1" quotePrefix="1">
      <alignment horizontal="left" vertical="center" wrapText="1"/>
      <protection/>
    </xf>
    <xf numFmtId="0" fontId="0" fillId="35" borderId="0" xfId="0" applyFill="1" applyAlignment="1">
      <alignment horizontal="left" wrapText="1"/>
    </xf>
    <xf numFmtId="0" fontId="30" fillId="0" borderId="14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16" xfId="37" applyBorder="1" applyAlignment="1" quotePrefix="1">
      <alignment horizontal="left" vertical="top" wrapText="1"/>
      <protection/>
    </xf>
    <xf numFmtId="0" fontId="30" fillId="0" borderId="17" xfId="37" applyBorder="1" applyAlignment="1" quotePrefix="1">
      <alignment horizontal="left" vertical="top" wrapText="1"/>
      <protection/>
    </xf>
    <xf numFmtId="0" fontId="30" fillId="0" borderId="11" xfId="43" applyBorder="1" applyAlignment="1" quotePrefix="1">
      <alignment horizontal="left" vertical="top" wrapText="1"/>
      <protection/>
    </xf>
    <xf numFmtId="0" fontId="29" fillId="21" borderId="14" xfId="41" applyBorder="1" applyAlignment="1" quotePrefix="1">
      <alignment horizontal="center" vertical="center" wrapText="1"/>
      <protection/>
    </xf>
    <xf numFmtId="0" fontId="29" fillId="21" borderId="15" xfId="41" applyBorder="1" applyAlignment="1" quotePrefix="1">
      <alignment horizontal="center" vertical="center" wrapText="1"/>
      <protection/>
    </xf>
    <xf numFmtId="0" fontId="29" fillId="20" borderId="14" xfId="40" applyFont="1" applyBorder="1" applyAlignment="1" quotePrefix="1">
      <alignment horizontal="left" vertical="center" wrapText="1"/>
      <protection/>
    </xf>
    <xf numFmtId="0" fontId="39" fillId="0" borderId="15" xfId="0" applyFont="1" applyBorder="1" applyAlignment="1">
      <alignment wrapText="1"/>
    </xf>
    <xf numFmtId="2" fontId="30" fillId="0" borderId="11" xfId="42" applyNumberFormat="1" applyBorder="1" applyAlignment="1" quotePrefix="1">
      <alignment horizontal="right" vertical="center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9" xfId="43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21" xfId="43" applyBorder="1" applyAlignment="1" quotePrefix="1">
      <alignment horizontal="left" vertical="top" wrapText="1"/>
      <protection/>
    </xf>
    <xf numFmtId="0" fontId="29" fillId="0" borderId="0" xfId="34" applyBorder="1" applyAlignment="1" quotePrefix="1">
      <alignment horizontal="center" vertical="center" wrapText="1"/>
      <protection/>
    </xf>
    <xf numFmtId="0" fontId="0" fillId="36" borderId="11" xfId="0" applyFill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%20&#1048;&#1058;&#1054;&#1043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333">
          <cell r="J333">
            <v>955.6761932821831</v>
          </cell>
        </row>
        <row r="444">
          <cell r="J444">
            <v>684.615821482499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54">
          <cell r="J654">
            <v>15556.733578840513</v>
          </cell>
        </row>
        <row r="677">
          <cell r="J677">
            <v>786.6130943054591</v>
          </cell>
        </row>
        <row r="915">
          <cell r="J915">
            <v>467.02159089779934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24">
          <cell r="J224">
            <v>1551.2274377228807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0">
          <cell r="B80">
            <v>586429.8500000001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0">
          <cell r="C80">
            <v>568836.9545000001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5"/>
  <sheetViews>
    <sheetView tabSelected="1" view="pageBreakPreview" zoomScale="130" zoomScaleNormal="130" zoomScaleSheetLayoutView="130" zoomScalePageLayoutView="0" workbookViewId="0" topLeftCell="A4">
      <selection activeCell="E14" sqref="E14"/>
    </sheetView>
  </sheetViews>
  <sheetFormatPr defaultColWidth="9.140625" defaultRowHeight="15"/>
  <cols>
    <col min="1" max="1" width="2.57421875" style="1" customWidth="1"/>
    <col min="2" max="2" width="41.00390625" style="1" customWidth="1"/>
    <col min="3" max="3" width="31.00390625" style="1" customWidth="1"/>
    <col min="4" max="4" width="9.421875" style="1" customWidth="1"/>
    <col min="5" max="5" width="12.8515625" style="8" customWidth="1"/>
    <col min="6" max="6" width="10.421875" style="1" bestFit="1" customWidth="1"/>
    <col min="7" max="7" width="3.7109375" style="1" customWidth="1"/>
    <col min="8" max="16384" width="9.140625" style="1" customWidth="1"/>
  </cols>
  <sheetData>
    <row r="1" spans="1:7" ht="24" customHeight="1">
      <c r="A1" s="40" t="s">
        <v>36</v>
      </c>
      <c r="B1" s="41"/>
      <c r="C1" s="41"/>
      <c r="D1" s="41"/>
      <c r="E1" s="41"/>
      <c r="F1" s="41"/>
      <c r="G1" s="41"/>
    </row>
    <row r="2" spans="2:5" ht="12" customHeight="1">
      <c r="B2" s="56" t="s">
        <v>0</v>
      </c>
      <c r="C2" s="56"/>
      <c r="D2" s="56"/>
      <c r="E2" s="56"/>
    </row>
    <row r="3" spans="2:12" ht="21" customHeight="1">
      <c r="B3" s="47" t="s">
        <v>1</v>
      </c>
      <c r="C3" s="48"/>
      <c r="D3" s="48"/>
      <c r="E3" s="21" t="s">
        <v>50</v>
      </c>
      <c r="H3" s="57" t="s">
        <v>46</v>
      </c>
      <c r="I3" s="57"/>
      <c r="J3" s="57"/>
      <c r="K3" s="57"/>
      <c r="L3" s="57"/>
    </row>
    <row r="4" spans="2:12" ht="15" customHeight="1" thickBot="1">
      <c r="B4" s="49" t="s">
        <v>26</v>
      </c>
      <c r="C4" s="50"/>
      <c r="D4" s="50"/>
      <c r="E4" s="50"/>
      <c r="H4" s="22" t="s">
        <v>16</v>
      </c>
      <c r="I4" s="22" t="s">
        <v>47</v>
      </c>
      <c r="J4" s="22" t="s">
        <v>33</v>
      </c>
      <c r="K4" s="22" t="s">
        <v>48</v>
      </c>
      <c r="L4" s="22" t="s">
        <v>49</v>
      </c>
    </row>
    <row r="5" spans="2:12" ht="12" customHeight="1" hidden="1" thickBot="1">
      <c r="B5" s="42" t="s">
        <v>15</v>
      </c>
      <c r="C5" s="43"/>
      <c r="D5" s="43"/>
      <c r="E5" s="9"/>
      <c r="H5" s="4" t="s">
        <v>16</v>
      </c>
      <c r="I5" s="4" t="s">
        <v>17</v>
      </c>
      <c r="J5" s="4" t="s">
        <v>18</v>
      </c>
      <c r="K5" s="4" t="s">
        <v>19</v>
      </c>
      <c r="L5" s="5" t="s">
        <v>20</v>
      </c>
    </row>
    <row r="6" spans="2:12" ht="25.5" customHeight="1" thickBot="1">
      <c r="B6" s="42" t="s">
        <v>27</v>
      </c>
      <c r="C6" s="43"/>
      <c r="D6" s="43"/>
      <c r="E6" s="9">
        <f>2.05*J6*12+J6*2*2.05+2.05*4*J6</f>
        <v>33571.619999999995</v>
      </c>
      <c r="H6" s="6">
        <v>79</v>
      </c>
      <c r="I6" s="6">
        <v>3653.7</v>
      </c>
      <c r="J6" s="6">
        <v>909.8</v>
      </c>
      <c r="K6" s="6">
        <f>J6</f>
        <v>909.8</v>
      </c>
      <c r="L6" s="7">
        <v>52</v>
      </c>
    </row>
    <row r="7" spans="2:6" ht="36" customHeight="1">
      <c r="B7" s="42" t="s">
        <v>21</v>
      </c>
      <c r="C7" s="43"/>
      <c r="D7" s="43"/>
      <c r="E7" s="9">
        <f>(I6*2.05*2)</f>
        <v>14980.169999999998</v>
      </c>
      <c r="F7" s="30"/>
    </row>
    <row r="8" spans="2:5" ht="12" customHeight="1">
      <c r="B8" s="42" t="s">
        <v>22</v>
      </c>
      <c r="C8" s="43"/>
      <c r="D8" s="43"/>
      <c r="E8" s="9">
        <f>I6*2.05*2</f>
        <v>14980.169999999998</v>
      </c>
    </row>
    <row r="9" spans="2:5" ht="12" customHeight="1" hidden="1">
      <c r="B9" s="42" t="s">
        <v>23</v>
      </c>
      <c r="C9" s="43"/>
      <c r="D9" s="43"/>
      <c r="E9" s="9"/>
    </row>
    <row r="10" spans="2:5" ht="24.75" customHeight="1">
      <c r="B10" s="42" t="s">
        <v>24</v>
      </c>
      <c r="C10" s="43"/>
      <c r="D10" s="43"/>
      <c r="E10" s="9">
        <f>(3*121.53*2*I6/1000)*3</f>
        <v>7992.614898000001</v>
      </c>
    </row>
    <row r="11" spans="2:5" ht="12" customHeight="1">
      <c r="B11" s="42" t="s">
        <v>9</v>
      </c>
      <c r="C11" s="43"/>
      <c r="D11" s="43"/>
      <c r="E11" s="9">
        <f>12*I6*0.83</f>
        <v>36390.85199999999</v>
      </c>
    </row>
    <row r="12" spans="2:5" ht="12" customHeight="1">
      <c r="B12" s="42" t="s">
        <v>11</v>
      </c>
      <c r="C12" s="43"/>
      <c r="D12" s="43"/>
      <c r="E12" s="9">
        <f>12*I6*6.05</f>
        <v>265258.61999999994</v>
      </c>
    </row>
    <row r="13" spans="2:5" ht="12" customHeight="1">
      <c r="B13" s="42" t="s">
        <v>12</v>
      </c>
      <c r="C13" s="43"/>
      <c r="D13" s="43"/>
      <c r="E13" s="9">
        <f>1*L6*286.7*2</f>
        <v>29816.8</v>
      </c>
    </row>
    <row r="14" spans="2:5" ht="12" customHeight="1">
      <c r="B14" s="42" t="s">
        <v>10</v>
      </c>
      <c r="C14" s="43"/>
      <c r="D14" s="43"/>
      <c r="E14" s="9">
        <f>12*I6*0.54</f>
        <v>23675.976</v>
      </c>
    </row>
    <row r="15" spans="2:5" ht="12" customHeight="1">
      <c r="B15" s="44" t="s">
        <v>14</v>
      </c>
      <c r="C15" s="45"/>
      <c r="D15" s="45"/>
      <c r="E15" s="9">
        <v>15000</v>
      </c>
    </row>
    <row r="16" spans="2:5" ht="6" customHeight="1">
      <c r="B16" s="52" t="s">
        <v>13</v>
      </c>
      <c r="C16" s="53"/>
      <c r="D16" s="53"/>
      <c r="E16" s="51">
        <f>12*I6*0.78</f>
        <v>34198.632</v>
      </c>
    </row>
    <row r="17" spans="2:5" ht="6" customHeight="1">
      <c r="B17" s="54"/>
      <c r="C17" s="55"/>
      <c r="D17" s="55"/>
      <c r="E17" s="51"/>
    </row>
    <row r="18" spans="2:5" ht="6" customHeight="1">
      <c r="B18" s="52" t="s">
        <v>25</v>
      </c>
      <c r="C18" s="53"/>
      <c r="D18" s="53"/>
      <c r="E18" s="51">
        <f>12*I6*1.42</f>
        <v>62259.04799999999</v>
      </c>
    </row>
    <row r="19" spans="2:5" ht="6" customHeight="1">
      <c r="B19" s="54"/>
      <c r="C19" s="55"/>
      <c r="D19" s="55"/>
      <c r="E19" s="51"/>
    </row>
    <row r="20" spans="2:5" ht="12" customHeight="1">
      <c r="B20" s="46" t="s">
        <v>28</v>
      </c>
      <c r="C20" s="46"/>
      <c r="D20" s="46"/>
      <c r="E20" s="25">
        <f>12*I6*0.37</f>
        <v>16222.427999999998</v>
      </c>
    </row>
    <row r="21" spans="2:5" ht="12" customHeight="1">
      <c r="B21" s="46" t="s">
        <v>29</v>
      </c>
      <c r="C21" s="46"/>
      <c r="D21" s="46"/>
      <c r="E21" s="25">
        <f>H6*2*80%*2*137.35*0.38</f>
        <v>13194.3904</v>
      </c>
    </row>
    <row r="22" spans="2:5" ht="12" customHeight="1">
      <c r="B22" s="46" t="s">
        <v>30</v>
      </c>
      <c r="C22" s="46"/>
      <c r="D22" s="46"/>
      <c r="E22" s="25">
        <f>H6*80%*2*137.35*0.38</f>
        <v>6597.1952</v>
      </c>
    </row>
    <row r="23" spans="2:5" s="13" customFormat="1" ht="12" customHeight="1">
      <c r="B23" s="46" t="s">
        <v>31</v>
      </c>
      <c r="C23" s="46"/>
      <c r="D23" s="46"/>
      <c r="E23" s="20">
        <f>68.68*10</f>
        <v>686.8000000000001</v>
      </c>
    </row>
    <row r="24" spans="2:5" s="13" customFormat="1" ht="12" customHeight="1">
      <c r="B24" s="46" t="s">
        <v>3</v>
      </c>
      <c r="C24" s="46"/>
      <c r="D24" s="46"/>
      <c r="E24" s="20">
        <f>68.68*12</f>
        <v>824.1600000000001</v>
      </c>
    </row>
    <row r="25" spans="2:5" s="13" customFormat="1" ht="12" customHeight="1">
      <c r="B25" s="46" t="s">
        <v>32</v>
      </c>
      <c r="C25" s="46"/>
      <c r="D25" s="46"/>
      <c r="E25" s="20">
        <f>68.68*22</f>
        <v>1510.96</v>
      </c>
    </row>
    <row r="26" spans="2:5" s="32" customFormat="1" ht="14.25" customHeight="1">
      <c r="B26" s="34" t="s">
        <v>56</v>
      </c>
      <c r="C26" s="34"/>
      <c r="D26" s="34"/>
      <c r="E26" s="27">
        <f>42*'[1]на июль 15г'!$J$198</f>
        <v>6909.337858395685</v>
      </c>
    </row>
    <row r="27" spans="2:5" s="32" customFormat="1" ht="12" customHeight="1">
      <c r="B27" s="34" t="s">
        <v>34</v>
      </c>
      <c r="C27" s="34"/>
      <c r="D27" s="34"/>
      <c r="E27" s="28">
        <f>2*'[1]на июль 15г'!$J$323</f>
        <v>199.95098965020944</v>
      </c>
    </row>
    <row r="28" spans="2:5" s="32" customFormat="1" ht="12" customHeight="1">
      <c r="B28" s="34" t="s">
        <v>57</v>
      </c>
      <c r="C28" s="35"/>
      <c r="D28" s="35"/>
      <c r="E28" s="28">
        <f>2*'[1]на июль 15г'!$J$333</f>
        <v>1911.3523865643663</v>
      </c>
    </row>
    <row r="29" spans="2:5" s="32" customFormat="1" ht="12" customHeight="1">
      <c r="B29" s="34" t="s">
        <v>40</v>
      </c>
      <c r="C29" s="34"/>
      <c r="D29" s="34"/>
      <c r="E29" s="28">
        <f>1*'[1]на июль 15г'!$J$238</f>
        <v>5104.102046353025</v>
      </c>
    </row>
    <row r="30" spans="2:5" s="32" customFormat="1" ht="12" customHeight="1">
      <c r="B30" s="34" t="s">
        <v>52</v>
      </c>
      <c r="C30" s="34"/>
      <c r="D30" s="34"/>
      <c r="E30" s="28">
        <f>1*'[1]на июль 15г'!$J$277</f>
        <v>835.5001207362125</v>
      </c>
    </row>
    <row r="31" spans="2:5" s="32" customFormat="1" ht="12.75" customHeight="1">
      <c r="B31" s="34" t="s">
        <v>41</v>
      </c>
      <c r="C31" s="34"/>
      <c r="D31" s="34"/>
      <c r="E31" s="27">
        <f>17*'[5]на июль 15г'!$J$1057</f>
        <v>1946.2106735585796</v>
      </c>
    </row>
    <row r="32" spans="2:5" s="32" customFormat="1" ht="12.75" customHeight="1">
      <c r="B32" s="34" t="s">
        <v>55</v>
      </c>
      <c r="C32" s="34"/>
      <c r="D32" s="34"/>
      <c r="E32" s="28">
        <f>50.89*20</f>
        <v>1017.8</v>
      </c>
    </row>
    <row r="33" spans="2:5" s="32" customFormat="1" ht="12" customHeight="1">
      <c r="B33" s="34" t="s">
        <v>53</v>
      </c>
      <c r="C33" s="34"/>
      <c r="D33" s="34"/>
      <c r="E33" s="28">
        <f>1*'[1]на июль 15г'!$J$277</f>
        <v>835.5001207362125</v>
      </c>
    </row>
    <row r="34" spans="2:5" s="32" customFormat="1" ht="12" customHeight="1">
      <c r="B34" s="34" t="s">
        <v>42</v>
      </c>
      <c r="C34" s="34"/>
      <c r="D34" s="34"/>
      <c r="E34" s="28">
        <f>1*'[2]на июль 15г'!$J$224</f>
        <v>1551.2274377228807</v>
      </c>
    </row>
    <row r="35" spans="2:5" s="32" customFormat="1" ht="12" customHeight="1">
      <c r="B35" s="34" t="s">
        <v>5</v>
      </c>
      <c r="C35" s="34"/>
      <c r="D35" s="34"/>
      <c r="E35" s="27">
        <f>6*'[1]на июль 15г'!$J$211</f>
        <v>345.6601891779171</v>
      </c>
    </row>
    <row r="36" spans="2:5" s="32" customFormat="1" ht="12" customHeight="1">
      <c r="B36" s="34" t="s">
        <v>51</v>
      </c>
      <c r="C36" s="34"/>
      <c r="D36" s="34"/>
      <c r="E36" s="27">
        <f>10*'[1]на июль 15г'!$J$211</f>
        <v>576.1003152965285</v>
      </c>
    </row>
    <row r="37" spans="2:5" s="32" customFormat="1" ht="12" customHeight="1">
      <c r="B37" s="34" t="s">
        <v>4</v>
      </c>
      <c r="C37" s="34"/>
      <c r="D37" s="34"/>
      <c r="E37" s="28">
        <f>5*'[1]на июль 15г'!$J$264</f>
        <v>354.4716088119292</v>
      </c>
    </row>
    <row r="38" spans="2:5" s="24" customFormat="1" ht="14.25" customHeight="1">
      <c r="B38" s="34" t="s">
        <v>37</v>
      </c>
      <c r="C38" s="34"/>
      <c r="D38" s="34"/>
      <c r="E38" s="28">
        <f>9.5*'[1]на июль 15г'!$J$535</f>
        <v>3768.8352870575072</v>
      </c>
    </row>
    <row r="39" spans="2:6" s="19" customFormat="1" ht="12.75" customHeight="1">
      <c r="B39" s="34" t="s">
        <v>38</v>
      </c>
      <c r="C39" s="34"/>
      <c r="D39" s="34"/>
      <c r="E39" s="27">
        <f>9.5*'[1]на июль 15г'!$J$565</f>
        <v>4831.5576361790645</v>
      </c>
      <c r="F39" s="16"/>
    </row>
    <row r="40" spans="2:5" s="15" customFormat="1" ht="12" customHeight="1">
      <c r="B40" s="34" t="s">
        <v>35</v>
      </c>
      <c r="C40" s="35"/>
      <c r="D40" s="35"/>
      <c r="E40" s="28">
        <f>2*'[1]на июль 15г'!$J$677</f>
        <v>1573.2261886109181</v>
      </c>
    </row>
    <row r="41" spans="2:9" s="18" customFormat="1" ht="12" customHeight="1">
      <c r="B41" s="34" t="s">
        <v>39</v>
      </c>
      <c r="C41" s="34"/>
      <c r="D41" s="34"/>
      <c r="E41" s="28">
        <f>2*'[1]на июль 15г'!$J$654</f>
        <v>31113.467157681025</v>
      </c>
      <c r="I41" s="17"/>
    </row>
    <row r="42" spans="2:5" s="13" customFormat="1" ht="12" customHeight="1">
      <c r="B42" s="34" t="s">
        <v>8</v>
      </c>
      <c r="C42" s="34"/>
      <c r="D42" s="34"/>
      <c r="E42" s="28">
        <f>2*'[1]на июль 15г'!$J$444</f>
        <v>1369.231642964998</v>
      </c>
    </row>
    <row r="43" spans="2:5" s="29" customFormat="1" ht="12.75" customHeight="1">
      <c r="B43" s="34" t="s">
        <v>7</v>
      </c>
      <c r="C43" s="34"/>
      <c r="D43" s="34"/>
      <c r="E43" s="26">
        <f>2201.44+550.57+1000</f>
        <v>3752.01</v>
      </c>
    </row>
    <row r="44" spans="2:5" s="16" customFormat="1" ht="12" customHeight="1">
      <c r="B44" s="34" t="s">
        <v>2</v>
      </c>
      <c r="C44" s="35"/>
      <c r="D44" s="35"/>
      <c r="E44" s="28">
        <f>1*'[1]на июль 15г'!$J$915</f>
        <v>467.02159089779934</v>
      </c>
    </row>
    <row r="45" spans="2:5" s="23" customFormat="1" ht="12" customHeight="1">
      <c r="B45" s="34" t="s">
        <v>54</v>
      </c>
      <c r="C45" s="34"/>
      <c r="D45" s="34"/>
      <c r="E45" s="27">
        <v>744</v>
      </c>
    </row>
    <row r="46" spans="2:5" s="33" customFormat="1" ht="12" customHeight="1">
      <c r="B46" s="34" t="s">
        <v>43</v>
      </c>
      <c r="C46" s="35"/>
      <c r="D46" s="35"/>
      <c r="E46" s="26">
        <v>849.95</v>
      </c>
    </row>
    <row r="47" spans="2:5" s="3" customFormat="1" ht="12" customHeight="1">
      <c r="B47" s="10"/>
      <c r="C47" s="10"/>
      <c r="D47" s="10"/>
      <c r="E47" s="12">
        <f>SUM(E5:E46)</f>
        <v>647216.9497483947</v>
      </c>
    </row>
    <row r="48" spans="3:5" ht="12" customHeight="1">
      <c r="C48" s="14" t="s">
        <v>45</v>
      </c>
      <c r="D48" s="38">
        <f>'[3]Лист1'!$B$80</f>
        <v>586429.8500000001</v>
      </c>
      <c r="E48" s="39"/>
    </row>
    <row r="49" spans="3:5" ht="12" customHeight="1">
      <c r="C49" s="2" t="s">
        <v>6</v>
      </c>
      <c r="D49" s="36">
        <f>'[4]Лист1'!$C$80</f>
        <v>568836.9545000001</v>
      </c>
      <c r="E49" s="37"/>
    </row>
    <row r="50" spans="3:5" ht="12" customHeight="1">
      <c r="C50" s="14" t="s">
        <v>44</v>
      </c>
      <c r="D50" s="11"/>
      <c r="E50" s="31">
        <f>E47</f>
        <v>647216.9497483947</v>
      </c>
    </row>
    <row r="215" ht="15">
      <c r="AC215" s="1">
        <v>65.3</v>
      </c>
    </row>
  </sheetData>
  <sheetProtection password="CCF3" sheet="1" objects="1" scenarios="1" selectLockedCells="1" selectUnlockedCells="1"/>
  <mergeCells count="49">
    <mergeCell ref="B5:D5"/>
    <mergeCell ref="B41:D41"/>
    <mergeCell ref="B16:D17"/>
    <mergeCell ref="B23:D23"/>
    <mergeCell ref="B2:E2"/>
    <mergeCell ref="H3:L3"/>
    <mergeCell ref="E16:E17"/>
    <mergeCell ref="B18:D19"/>
    <mergeCell ref="E18:E19"/>
    <mergeCell ref="B20:D20"/>
    <mergeCell ref="B21:D21"/>
    <mergeCell ref="B22:D22"/>
    <mergeCell ref="B6:D6"/>
    <mergeCell ref="B7:D7"/>
    <mergeCell ref="B24:D24"/>
    <mergeCell ref="B25:D25"/>
    <mergeCell ref="B3:D3"/>
    <mergeCell ref="B11:D11"/>
    <mergeCell ref="B12:D12"/>
    <mergeCell ref="B13:D13"/>
    <mergeCell ref="B14:D14"/>
    <mergeCell ref="B4:E4"/>
    <mergeCell ref="B10:D10"/>
    <mergeCell ref="B26:D26"/>
    <mergeCell ref="B15:D15"/>
    <mergeCell ref="B40:D40"/>
    <mergeCell ref="B38:D38"/>
    <mergeCell ref="B30:D30"/>
    <mergeCell ref="B35:D35"/>
    <mergeCell ref="D49:E49"/>
    <mergeCell ref="B39:D39"/>
    <mergeCell ref="D48:E48"/>
    <mergeCell ref="A1:G1"/>
    <mergeCell ref="B27:D27"/>
    <mergeCell ref="B28:D28"/>
    <mergeCell ref="B29:D29"/>
    <mergeCell ref="B44:D44"/>
    <mergeCell ref="B8:D8"/>
    <mergeCell ref="B9:D9"/>
    <mergeCell ref="B33:D33"/>
    <mergeCell ref="B46:D46"/>
    <mergeCell ref="B34:D34"/>
    <mergeCell ref="B32:D32"/>
    <mergeCell ref="B36:D36"/>
    <mergeCell ref="B31:D31"/>
    <mergeCell ref="B45:D45"/>
    <mergeCell ref="B37:D37"/>
    <mergeCell ref="B42:D42"/>
    <mergeCell ref="B43:D43"/>
  </mergeCells>
  <printOptions/>
  <pageMargins left="0.3611111111111111" right="0.14444444444444446" top="0.3611111111111111" bottom="0.3611111111111111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2020-03-27T03:26:29Z</dcterms:modified>
  <cp:category/>
  <cp:version/>
  <cp:contentType/>
  <cp:contentStatus/>
</cp:coreProperties>
</file>