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'Лист'!$A$1:$E$73</definedName>
  </definedNames>
  <calcPr calcMode="autoNoTable" fullCalcOnLoad="1"/>
</workbook>
</file>

<file path=xl/sharedStrings.xml><?xml version="1.0" encoding="utf-8"?>
<sst xmlns="http://schemas.openxmlformats.org/spreadsheetml/2006/main" count="82" uniqueCount="81">
  <si>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</si>
  <si>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</si>
  <si>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</si>
  <si>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</si>
  <si>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</si>
  <si>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</si>
  <si>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</si>
  <si>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</si>
  <si>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</si>
  <si>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</si>
  <si>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</si>
  <si>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</si>
  <si>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</si>
  <si>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</si>
  <si>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</si>
  <si>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</si>
  <si>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50 мм</t>
  </si>
  <si>
    <t>Смена внутренних трубопроводов из стальных труб диаметром: до 15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</si>
  <si>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</si>
  <si>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</si>
  <si>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</si>
  <si>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</si>
  <si>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</si>
  <si>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</si>
  <si>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</si>
  <si>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</si>
  <si>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</si>
  <si>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</si>
  <si>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</si>
  <si>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</si>
  <si>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Ремонт отмостки</t>
  </si>
  <si>
    <t>Уборка загрузочных клапанов; удаление отходов</t>
  </si>
  <si>
    <t>Страхование лифтового оборудования</t>
  </si>
  <si>
    <t xml:space="preserve">Адрес дома: ОКТЯБРЬСКИЙ ПР., 61а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</si>
  <si>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</si>
  <si>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</si>
  <si>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</si>
  <si>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</si>
  <si>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</si>
  <si>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</si>
  <si>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</si>
  <si>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патронов</t>
  </si>
  <si>
    <t>Смена сборки диаметром 15 мм</t>
  </si>
  <si>
    <t>Автомат одно-, двух-, трехполюсный, устанавливаемый на конструкции: на стене или колонне, на ток до 100 А</t>
  </si>
  <si>
    <t>Начислено по дому:</t>
  </si>
  <si>
    <t>Ремонт лавочки</t>
  </si>
  <si>
    <t>Отчет о работах, выполненных за период с Января 2019 г. по Декабрь 2019 г.</t>
  </si>
  <si>
    <t>Смена вентилей и клапанов обратных муфтовых диаметром: 15 мм</t>
  </si>
  <si>
    <t>Разборка трубопроводов из чугунных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</si>
  <si>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</si>
  <si>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Смена задвижек диаметром: 50 мм</t>
  </si>
  <si>
    <t>Смена внутренних трубопроводов из стальных труб диаметром: до 76 мм</t>
  </si>
  <si>
    <t>Смена вентилей и клапанов обратных муфтовых диаметром: 20 мм</t>
  </si>
  <si>
    <t>Смена вентилей и клапанов обратных муфтовых диаметром: 25 мм</t>
  </si>
  <si>
    <t>Демонтаж кобры, установка светодиодного прожектора</t>
  </si>
  <si>
    <t>Прокладка кабеля АВВГ 2*2,5</t>
  </si>
  <si>
    <t>Замена трансформатора тока</t>
  </si>
  <si>
    <t>Замена распределительной коробки</t>
  </si>
  <si>
    <t>Монтаж кабель-канала</t>
  </si>
  <si>
    <t>Ремонт перил</t>
  </si>
  <si>
    <t>Итого затрачено по дому:</t>
  </si>
  <si>
    <t>Ремонт люков на чердак</t>
  </si>
  <si>
    <t>Количество</t>
  </si>
  <si>
    <t xml:space="preserve">общая площадь </t>
  </si>
  <si>
    <t>чердак</t>
  </si>
  <si>
    <t>стояки</t>
  </si>
  <si>
    <t>Сумма</t>
  </si>
  <si>
    <t>Ремонт балконных козырьков, кв.141,142</t>
  </si>
  <si>
    <t>Смена ламп: светодиодных</t>
  </si>
  <si>
    <t>Замена фотореле</t>
  </si>
  <si>
    <t>Предохранитель, устанавливаемый на изоляционном основании, на ток: до 100 А</t>
  </si>
  <si>
    <t>Установка держателя для предохранителя</t>
  </si>
  <si>
    <t>Замена датчиков движения</t>
  </si>
  <si>
    <t>Монтаж светодиодных прожекторов</t>
  </si>
  <si>
    <t>Установка светильников</t>
  </si>
  <si>
    <t>Замена фланцев 50 мм</t>
  </si>
  <si>
    <t>Смена существующих рулонных кровель на покрытия из наплавляемых рулонных материалов: в один слой, кв.36,69</t>
  </si>
  <si>
    <t>Изготовление ограждения контейнерной площадки</t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</si>
  <si>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</si>
  <si>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 xml:space="preserve">Устранение засоров </t>
  </si>
  <si>
    <r>
      <t>Присоединение к зажимам жил проводов или кабелей сечением: до 35 мм</t>
    </r>
    <r>
      <rPr>
        <vertAlign val="superscript"/>
        <sz val="9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</si>
</sst>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wrapText="1"/>
    </xf>
    <xf numFmtId="0" fontId="39" fillId="0" borderId="0" xfId="0" applyFont="1" applyFill="1" applyAlignment="1">
      <alignment wrapText="1"/>
    </xf>
    <xf numFmtId="0" fontId="30" fillId="0" borderId="11" xfId="42" applyNumberFormat="1" applyFill="1" applyBorder="1" applyAlignment="1" quotePrefix="1">
      <alignment horizontal="right" vertical="center" wrapText="1"/>
      <protection/>
    </xf>
    <xf numFmtId="2" fontId="0" fillId="0" borderId="0" xfId="0" applyNumberFormat="1" applyFill="1" applyAlignment="1">
      <alignment wrapText="1"/>
    </xf>
    <xf numFmtId="0" fontId="0" fillId="0" borderId="11" xfId="0" applyFill="1" applyBorder="1" applyAlignment="1">
      <alignment horizontal="center" wrapText="1"/>
    </xf>
    <xf numFmtId="0" fontId="30" fillId="0" borderId="11" xfId="42" applyNumberFormat="1" applyFont="1" applyFill="1" applyBorder="1" applyAlignment="1" quotePrefix="1">
      <alignment horizontal="right" vertical="center" wrapText="1"/>
      <protection/>
    </xf>
    <xf numFmtId="2" fontId="30" fillId="0" borderId="11" xfId="42" applyNumberFormat="1" applyFont="1" applyFill="1" applyBorder="1" applyAlignment="1" quotePrefix="1">
      <alignment horizontal="right" vertical="center" wrapText="1"/>
      <protection/>
    </xf>
    <xf numFmtId="43" fontId="30" fillId="0" borderId="11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2" fontId="30" fillId="0" borderId="11" xfId="42" applyNumberFormat="1" applyFill="1" applyBorder="1" applyAlignment="1" quotePrefix="1">
      <alignment horizontal="right" vertical="center" wrapText="1"/>
      <protection/>
    </xf>
    <xf numFmtId="4" fontId="50" fillId="0" borderId="11" xfId="0" applyNumberFormat="1" applyFont="1" applyFill="1" applyBorder="1" applyAlignment="1">
      <alignment horizontal="right"/>
    </xf>
    <xf numFmtId="0" fontId="29" fillId="0" borderId="13" xfId="34" applyFill="1" applyBorder="1" applyAlignment="1" quotePrefix="1">
      <alignment horizontal="center" vertical="center" wrapText="1"/>
      <protection/>
    </xf>
    <xf numFmtId="0" fontId="29" fillId="0" borderId="11" xfId="41" applyFill="1" applyBorder="1" applyAlignment="1" quotePrefix="1">
      <alignment horizontal="center" vertical="center" wrapText="1"/>
      <protection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wrapText="1"/>
    </xf>
    <xf numFmtId="2" fontId="30" fillId="0" borderId="14" xfId="42" applyNumberFormat="1" applyFill="1" applyBorder="1" applyAlignment="1" quotePrefix="1">
      <alignment horizontal="right" vertical="center" wrapText="1"/>
      <protection/>
    </xf>
    <xf numFmtId="0" fontId="30" fillId="0" borderId="0" xfId="43" applyFill="1" applyBorder="1" applyAlignment="1" quotePrefix="1">
      <alignment horizontal="left" vertical="top" wrapText="1"/>
      <protection/>
    </xf>
    <xf numFmtId="2" fontId="52" fillId="0" borderId="0" xfId="42" applyNumberFormat="1" applyFont="1" applyFill="1" applyBorder="1" applyAlignment="1" quotePrefix="1">
      <alignment horizontal="right" vertical="center" wrapText="1"/>
      <protection/>
    </xf>
    <xf numFmtId="0" fontId="29" fillId="0" borderId="0" xfId="46" applyFill="1" applyAlignment="1" quotePrefix="1">
      <alignment horizontal="right" vertical="top" wrapText="1"/>
      <protection/>
    </xf>
    <xf numFmtId="2" fontId="29" fillId="0" borderId="15" xfId="39" applyNumberFormat="1" applyFill="1" applyBorder="1" applyAlignment="1" quotePrefix="1">
      <alignment vertical="top" wrapText="1"/>
      <protection/>
    </xf>
    <xf numFmtId="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1" fontId="49" fillId="0" borderId="15" xfId="76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30" fillId="0" borderId="11" xfId="43" applyFont="1" applyFill="1" applyBorder="1" applyAlignment="1" quotePrefix="1">
      <alignment horizontal="left" vertical="top" wrapText="1"/>
      <protection/>
    </xf>
    <xf numFmtId="0" fontId="0" fillId="0" borderId="11" xfId="0" applyFill="1" applyBorder="1" applyAlignment="1">
      <alignment horizontal="center" wrapText="1"/>
    </xf>
    <xf numFmtId="0" fontId="30" fillId="0" borderId="11" xfId="37" applyFill="1" applyBorder="1" applyAlignment="1" quotePrefix="1">
      <alignment horizontal="left" vertical="top" wrapText="1"/>
      <protection/>
    </xf>
    <xf numFmtId="0" fontId="30" fillId="0" borderId="16" xfId="43" applyFill="1" applyBorder="1" applyAlignment="1" quotePrefix="1">
      <alignment horizontal="left" vertical="top" wrapText="1"/>
      <protection/>
    </xf>
    <xf numFmtId="0" fontId="30" fillId="0" borderId="17" xfId="43" applyFill="1" applyBorder="1" applyAlignment="1" quotePrefix="1">
      <alignment horizontal="left" vertical="top" wrapText="1"/>
      <protection/>
    </xf>
    <xf numFmtId="0" fontId="30" fillId="0" borderId="11" xfId="43" applyFill="1" applyBorder="1" applyAlignment="1" quotePrefix="1">
      <alignment horizontal="left" vertical="top" wrapText="1"/>
      <protection/>
    </xf>
    <xf numFmtId="0" fontId="29" fillId="0" borderId="12" xfId="41" applyFill="1" applyBorder="1" applyAlignment="1" quotePrefix="1">
      <alignment horizontal="center" vertical="center" wrapText="1"/>
      <protection/>
    </xf>
    <xf numFmtId="0" fontId="29" fillId="0" borderId="18" xfId="41" applyFill="1" applyBorder="1" applyAlignment="1" quotePrefix="1">
      <alignment horizontal="center" vertical="center" wrapText="1"/>
      <protection/>
    </xf>
    <xf numFmtId="0" fontId="28" fillId="0" borderId="0" xfId="33" applyFill="1" applyAlignment="1" quotePrefix="1">
      <alignment horizontal="center" vertical="center" wrapText="1"/>
      <protection/>
    </xf>
    <xf numFmtId="0" fontId="30" fillId="0" borderId="12" xfId="43" applyFill="1" applyBorder="1" applyAlignment="1" quotePrefix="1">
      <alignment horizontal="left" vertical="top" wrapText="1"/>
      <protection/>
    </xf>
    <xf numFmtId="0" fontId="30" fillId="0" borderId="18" xfId="43" applyFill="1" applyBorder="1" applyAlignment="1" quotePrefix="1">
      <alignment horizontal="left" vertical="top" wrapText="1"/>
      <protection/>
    </xf>
    <xf numFmtId="0" fontId="29" fillId="0" borderId="12" xfId="40" applyFont="1" applyFill="1" applyBorder="1" applyAlignment="1" quotePrefix="1">
      <alignment horizontal="left" vertical="center" wrapText="1"/>
      <protection/>
    </xf>
    <xf numFmtId="0" fontId="39" fillId="0" borderId="18" xfId="0" applyFont="1" applyFill="1" applyBorder="1" applyAlignment="1">
      <alignment wrapText="1"/>
    </xf>
    <xf numFmtId="4" fontId="29" fillId="0" borderId="0" xfId="39" applyNumberFormat="1" applyFill="1" applyAlignment="1" quotePrefix="1">
      <alignment horizontal="right" vertical="top" wrapText="1"/>
      <protection/>
    </xf>
    <xf numFmtId="0" fontId="0" fillId="0" borderId="0" xfId="0" applyFill="1" applyAlignment="1">
      <alignment wrapText="1"/>
    </xf>
    <xf numFmtId="0" fontId="30" fillId="0" borderId="19" xfId="43" applyFont="1" applyFill="1" applyBorder="1" applyAlignment="1" quotePrefix="1">
      <alignment horizontal="left" vertical="top" wrapText="1"/>
      <protection/>
    </xf>
    <xf numFmtId="0" fontId="30" fillId="0" borderId="20" xfId="43" applyFont="1" applyFill="1" applyBorder="1" applyAlignment="1" quotePrefix="1">
      <alignment horizontal="left" vertical="top" wrapText="1"/>
      <protection/>
    </xf>
    <xf numFmtId="0" fontId="30" fillId="0" borderId="21" xfId="43" applyFont="1" applyFill="1" applyBorder="1" applyAlignment="1" quotePrefix="1">
      <alignment horizontal="left" vertical="top" wrapText="1"/>
      <protection/>
    </xf>
    <xf numFmtId="0" fontId="30" fillId="0" borderId="11" xfId="37" applyFont="1" applyFill="1" applyBorder="1" applyAlignment="1" quotePrefix="1">
      <alignment horizontal="left" vertical="top" wrapText="1"/>
      <protection/>
    </xf>
    <xf numFmtId="0" fontId="0" fillId="0" borderId="11" xfId="0" applyFont="1" applyFill="1" applyBorder="1" applyAlignment="1">
      <alignment wrapText="1"/>
    </xf>
    <xf numFmtId="2" fontId="30" fillId="0" borderId="11" xfId="42" applyNumberFormat="1" applyFill="1" applyBorder="1" applyAlignment="1" quotePrefix="1">
      <alignment horizontal="right" vertical="center" wrapText="1"/>
      <protection/>
    </xf>
    <xf numFmtId="4" fontId="29" fillId="0" borderId="17" xfId="47" applyNumberFormat="1" applyFill="1" applyBorder="1" applyAlignment="1" quotePrefix="1">
      <alignment horizontal="right" vertical="top" wrapText="1"/>
      <protection/>
    </xf>
    <xf numFmtId="0" fontId="0" fillId="0" borderId="17" xfId="0" applyFill="1" applyBorder="1" applyAlignment="1">
      <alignment wrapText="1"/>
    </xf>
    <xf numFmtId="0" fontId="30" fillId="0" borderId="22" xfId="43" applyFont="1" applyFill="1" applyBorder="1" applyAlignment="1" quotePrefix="1">
      <alignment horizontal="left" vertical="top" wrapText="1"/>
      <protection/>
    </xf>
    <xf numFmtId="0" fontId="30" fillId="0" borderId="18" xfId="43" applyFont="1" applyFill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51">
          <cell r="J251">
            <v>5019.891178155766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454">
          <cell r="J454">
            <v>863.9268878891185</v>
          </cell>
        </row>
        <row r="474">
          <cell r="J474">
            <v>1075.506190258772</v>
          </cell>
        </row>
        <row r="484">
          <cell r="J484">
            <v>1304.1603838424317</v>
          </cell>
        </row>
        <row r="504">
          <cell r="J504">
            <v>1764.1201997957446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43">
          <cell r="J643">
            <v>10053.132298840512</v>
          </cell>
        </row>
        <row r="677">
          <cell r="J677">
            <v>786.6130943054591</v>
          </cell>
        </row>
        <row r="688">
          <cell r="J688">
            <v>976.781174305459</v>
          </cell>
        </row>
        <row r="699">
          <cell r="J699">
            <v>1392.239787079781</v>
          </cell>
        </row>
        <row r="915">
          <cell r="J915">
            <v>467.02159089779934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333">
          <cell r="J333">
            <v>955.6761932821831</v>
          </cell>
        </row>
        <row r="960">
          <cell r="J960">
            <v>1535.2004130751782</v>
          </cell>
        </row>
        <row r="974">
          <cell r="J974">
            <v>672.1700975325577</v>
          </cell>
        </row>
        <row r="988">
          <cell r="J988">
            <v>752.970178486447</v>
          </cell>
        </row>
        <row r="1042">
          <cell r="J1042">
            <v>82.93578079756352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7">
          <cell r="B67">
            <v>1666173.72</v>
          </cell>
          <cell r="C67">
            <v>1659455.32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90">
          <cell r="J290">
            <v>609.0492647362124</v>
          </cell>
        </row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110" zoomScaleNormal="110" workbookViewId="0" topLeftCell="A1">
      <selection activeCell="C77" sqref="C77"/>
    </sheetView>
  </sheetViews>
  <sheetFormatPr defaultColWidth="9.140625" defaultRowHeight="15"/>
  <cols>
    <col min="1" max="1" width="0.85546875" style="11" customWidth="1"/>
    <col min="2" max="2" width="41.00390625" style="11" customWidth="1"/>
    <col min="3" max="3" width="29.57421875" style="11" customWidth="1"/>
    <col min="4" max="4" width="10.57421875" style="11" customWidth="1"/>
    <col min="5" max="5" width="12.421875" style="5" customWidth="1"/>
    <col min="6" max="6" width="0.71875" style="11" hidden="1" customWidth="1"/>
    <col min="7" max="7" width="2.00390625" style="11" customWidth="1"/>
    <col min="8" max="8" width="12.00390625" style="11" bestFit="1" customWidth="1"/>
    <col min="9" max="9" width="11.7109375" style="11" bestFit="1" customWidth="1"/>
    <col min="10" max="16384" width="9.140625" style="11" customWidth="1"/>
  </cols>
  <sheetData>
    <row r="1" spans="1:5" ht="24" customHeight="1">
      <c r="A1" s="36" t="s">
        <v>46</v>
      </c>
      <c r="B1" s="36"/>
      <c r="C1" s="36"/>
      <c r="D1" s="36"/>
      <c r="E1" s="36"/>
    </row>
    <row r="2" ht="12" customHeight="1">
      <c r="B2" s="14" t="s">
        <v>0</v>
      </c>
    </row>
    <row r="3" spans="2:12" ht="21" customHeight="1">
      <c r="B3" s="34" t="s">
        <v>1</v>
      </c>
      <c r="C3" s="35"/>
      <c r="D3" s="35"/>
      <c r="E3" s="15" t="s">
        <v>66</v>
      </c>
      <c r="H3" s="29" t="s">
        <v>62</v>
      </c>
      <c r="I3" s="29"/>
      <c r="J3" s="29"/>
      <c r="K3" s="29"/>
      <c r="L3" s="29"/>
    </row>
    <row r="4" spans="2:12" ht="15" customHeight="1" thickBot="1">
      <c r="B4" s="39" t="s">
        <v>33</v>
      </c>
      <c r="C4" s="40"/>
      <c r="D4" s="40"/>
      <c r="E4" s="40"/>
      <c r="H4" s="6" t="s">
        <v>20</v>
      </c>
      <c r="I4" s="6" t="s">
        <v>63</v>
      </c>
      <c r="J4" s="6" t="s">
        <v>40</v>
      </c>
      <c r="K4" s="6" t="s">
        <v>64</v>
      </c>
      <c r="L4" s="6" t="s">
        <v>65</v>
      </c>
    </row>
    <row r="5" spans="2:12" ht="12" customHeight="1" hidden="1" thickBot="1">
      <c r="B5" s="37" t="s">
        <v>19</v>
      </c>
      <c r="C5" s="38"/>
      <c r="D5" s="38"/>
      <c r="E5" s="12"/>
      <c r="H5" s="16" t="s">
        <v>20</v>
      </c>
      <c r="I5" s="16" t="s">
        <v>21</v>
      </c>
      <c r="J5" s="16" t="s">
        <v>22</v>
      </c>
      <c r="K5" s="16" t="s">
        <v>23</v>
      </c>
      <c r="L5" s="17" t="s">
        <v>24</v>
      </c>
    </row>
    <row r="6" spans="2:12" ht="26.25" customHeight="1" thickBot="1">
      <c r="B6" s="37" t="s">
        <v>34</v>
      </c>
      <c r="C6" s="38"/>
      <c r="D6" s="38"/>
      <c r="E6" s="12">
        <f>2.05*J6*12+J6*2*2.05+2.05*4*J6*2</f>
        <v>55760.73800000001</v>
      </c>
      <c r="H6" s="1">
        <v>143</v>
      </c>
      <c r="I6" s="1">
        <v>8259.3</v>
      </c>
      <c r="J6" s="1">
        <v>1236.38</v>
      </c>
      <c r="K6" s="1">
        <f>J6</f>
        <v>1236.38</v>
      </c>
      <c r="L6" s="2">
        <v>60</v>
      </c>
    </row>
    <row r="7" spans="2:5" ht="36" customHeight="1">
      <c r="B7" s="37" t="s">
        <v>25</v>
      </c>
      <c r="C7" s="38"/>
      <c r="D7" s="38"/>
      <c r="E7" s="12">
        <f>(I6*2.05*2)</f>
        <v>33863.13</v>
      </c>
    </row>
    <row r="8" spans="2:5" ht="12" customHeight="1">
      <c r="B8" s="37" t="s">
        <v>26</v>
      </c>
      <c r="C8" s="38"/>
      <c r="D8" s="38"/>
      <c r="E8" s="12">
        <f>I6*2.05*2</f>
        <v>33863.13</v>
      </c>
    </row>
    <row r="9" spans="2:5" ht="12" customHeight="1" hidden="1">
      <c r="B9" s="31" t="s">
        <v>27</v>
      </c>
      <c r="C9" s="32"/>
      <c r="D9" s="32"/>
      <c r="E9" s="18"/>
    </row>
    <row r="10" spans="2:5" ht="25.5" customHeight="1">
      <c r="B10" s="33" t="s">
        <v>28</v>
      </c>
      <c r="C10" s="33"/>
      <c r="D10" s="33"/>
      <c r="E10" s="12">
        <f>(3*121.53*2*I6/1000)*3</f>
        <v>18067.549122</v>
      </c>
    </row>
    <row r="11" spans="2:5" ht="12" customHeight="1">
      <c r="B11" s="33" t="s">
        <v>9</v>
      </c>
      <c r="C11" s="33"/>
      <c r="D11" s="33"/>
      <c r="E11" s="12">
        <f>12*I6*0.83</f>
        <v>82262.62799999998</v>
      </c>
    </row>
    <row r="12" spans="2:5" ht="12" customHeight="1">
      <c r="B12" s="33" t="s">
        <v>11</v>
      </c>
      <c r="C12" s="33"/>
      <c r="D12" s="33"/>
      <c r="E12" s="12">
        <f>12*I6*6.05</f>
        <v>599625.1799999999</v>
      </c>
    </row>
    <row r="13" spans="2:5" ht="12" customHeight="1">
      <c r="B13" s="33" t="s">
        <v>12</v>
      </c>
      <c r="C13" s="33"/>
      <c r="D13" s="33"/>
      <c r="E13" s="12">
        <f>1*L6*286.7*2</f>
        <v>34404</v>
      </c>
    </row>
    <row r="14" spans="2:5" ht="12" customHeight="1">
      <c r="B14" s="33" t="s">
        <v>10</v>
      </c>
      <c r="C14" s="33"/>
      <c r="D14" s="33"/>
      <c r="E14" s="12">
        <f>12*I6*0.54</f>
        <v>53520.263999999996</v>
      </c>
    </row>
    <row r="15" spans="2:5" ht="12" customHeight="1">
      <c r="B15" s="30" t="s">
        <v>15</v>
      </c>
      <c r="C15" s="30"/>
      <c r="D15" s="30"/>
      <c r="E15" s="12">
        <v>22500</v>
      </c>
    </row>
    <row r="16" spans="2:5" ht="6" customHeight="1">
      <c r="B16" s="33" t="s">
        <v>14</v>
      </c>
      <c r="C16" s="33"/>
      <c r="D16" s="33"/>
      <c r="E16" s="48">
        <f>12*I6*0.59</f>
        <v>58475.84399999999</v>
      </c>
    </row>
    <row r="17" spans="2:5" ht="6" customHeight="1">
      <c r="B17" s="33"/>
      <c r="C17" s="33"/>
      <c r="D17" s="33"/>
      <c r="E17" s="48"/>
    </row>
    <row r="18" spans="2:5" ht="6" customHeight="1">
      <c r="B18" s="33" t="s">
        <v>29</v>
      </c>
      <c r="C18" s="33"/>
      <c r="D18" s="33"/>
      <c r="E18" s="48">
        <f>12*I6*1.7</f>
        <v>168489.71999999997</v>
      </c>
    </row>
    <row r="19" spans="2:5" ht="6" customHeight="1">
      <c r="B19" s="33"/>
      <c r="C19" s="33"/>
      <c r="D19" s="33"/>
      <c r="E19" s="48"/>
    </row>
    <row r="20" spans="2:5" ht="12" customHeight="1">
      <c r="B20" s="33" t="s">
        <v>35</v>
      </c>
      <c r="C20" s="33"/>
      <c r="D20" s="33"/>
      <c r="E20" s="12">
        <f>12*I6*0.36</f>
        <v>35680.17599999999</v>
      </c>
    </row>
    <row r="21" spans="2:5" ht="12" customHeight="1">
      <c r="B21" s="33" t="s">
        <v>36</v>
      </c>
      <c r="C21" s="33"/>
      <c r="D21" s="33"/>
      <c r="E21" s="12">
        <f>H6*2*75%*2*137.35*0.38</f>
        <v>22390.797</v>
      </c>
    </row>
    <row r="22" spans="2:5" ht="12" customHeight="1">
      <c r="B22" s="33" t="s">
        <v>37</v>
      </c>
      <c r="C22" s="33"/>
      <c r="D22" s="33"/>
      <c r="E22" s="12">
        <f>H6*75%*2*137.35*0.38</f>
        <v>11195.3985</v>
      </c>
    </row>
    <row r="23" spans="2:5" ht="12" customHeight="1">
      <c r="B23" s="33" t="s">
        <v>31</v>
      </c>
      <c r="C23" s="33"/>
      <c r="D23" s="33"/>
      <c r="E23" s="4">
        <v>49557.9</v>
      </c>
    </row>
    <row r="24" spans="2:5" ht="12" customHeight="1">
      <c r="B24" s="33" t="s">
        <v>32</v>
      </c>
      <c r="C24" s="33"/>
      <c r="D24" s="33"/>
      <c r="E24" s="4">
        <v>8000</v>
      </c>
    </row>
    <row r="25" spans="2:5" ht="12" customHeight="1">
      <c r="B25" s="33" t="s">
        <v>38</v>
      </c>
      <c r="C25" s="33"/>
      <c r="D25" s="33"/>
      <c r="E25" s="4">
        <f>68.68*52</f>
        <v>3571.3600000000006</v>
      </c>
    </row>
    <row r="26" spans="2:5" ht="12" customHeight="1">
      <c r="B26" s="33" t="s">
        <v>3</v>
      </c>
      <c r="C26" s="33"/>
      <c r="D26" s="33"/>
      <c r="E26" s="4">
        <f>68.68*77</f>
        <v>5288.360000000001</v>
      </c>
    </row>
    <row r="27" spans="2:5" ht="12" customHeight="1">
      <c r="B27" s="33" t="s">
        <v>39</v>
      </c>
      <c r="C27" s="33"/>
      <c r="D27" s="33"/>
      <c r="E27" s="4">
        <f>68.68*58</f>
        <v>3983.4400000000005</v>
      </c>
    </row>
    <row r="28" spans="2:5" s="26" customFormat="1" ht="12" customHeight="1">
      <c r="B28" s="43" t="s">
        <v>58</v>
      </c>
      <c r="C28" s="44"/>
      <c r="D28" s="45"/>
      <c r="E28" s="9">
        <f>5*'[2]на июль 15г'!$J$1042</f>
        <v>414.67890398781765</v>
      </c>
    </row>
    <row r="29" spans="2:5" s="26" customFormat="1" ht="12" customHeight="1">
      <c r="B29" s="43" t="s">
        <v>74</v>
      </c>
      <c r="C29" s="44"/>
      <c r="D29" s="45"/>
      <c r="E29" s="9">
        <f>'[2]на июль 15г'!$J$988*15+1*'[2]на июль 15г'!$J$960</f>
        <v>12829.753090371883</v>
      </c>
    </row>
    <row r="30" spans="2:5" s="26" customFormat="1" ht="14.25" customHeight="1">
      <c r="B30" s="46" t="s">
        <v>43</v>
      </c>
      <c r="C30" s="46"/>
      <c r="D30" s="46"/>
      <c r="E30" s="9">
        <f>'[2]на июль 15г'!$J$974*2+'[4]на июль 15г'!$J$290</f>
        <v>1953.389459801328</v>
      </c>
    </row>
    <row r="31" spans="2:5" s="26" customFormat="1" ht="11.25" customHeight="1">
      <c r="B31" s="28" t="s">
        <v>56</v>
      </c>
      <c r="C31" s="28"/>
      <c r="D31" s="28"/>
      <c r="E31" s="7">
        <f>880*3</f>
        <v>2640</v>
      </c>
    </row>
    <row r="32" spans="2:5" s="26" customFormat="1" ht="14.25" customHeight="1">
      <c r="B32" s="28" t="s">
        <v>55</v>
      </c>
      <c r="C32" s="28"/>
      <c r="D32" s="28"/>
      <c r="E32" s="8">
        <f>200*'[4]на июль 15г'!$J$1057</f>
        <v>22896.5961595127</v>
      </c>
    </row>
    <row r="33" spans="2:5" s="26" customFormat="1" ht="12" customHeight="1">
      <c r="B33" s="28" t="s">
        <v>69</v>
      </c>
      <c r="C33" s="28"/>
      <c r="D33" s="28"/>
      <c r="E33" s="9">
        <f>4*'[1]на июль 15г'!$J$277</f>
        <v>3342.00048294485</v>
      </c>
    </row>
    <row r="34" spans="2:5" s="26" customFormat="1" ht="12" customHeight="1">
      <c r="B34" s="28" t="s">
        <v>57</v>
      </c>
      <c r="C34" s="28"/>
      <c r="D34" s="28"/>
      <c r="E34" s="7">
        <f>112.6*1</f>
        <v>112.6</v>
      </c>
    </row>
    <row r="35" spans="2:5" s="26" customFormat="1" ht="12" customHeight="1">
      <c r="B35" s="28" t="s">
        <v>72</v>
      </c>
      <c r="C35" s="28"/>
      <c r="D35" s="28"/>
      <c r="E35" s="9">
        <f>2*'[1]на июль 15г'!$J$277</f>
        <v>1671.000241472425</v>
      </c>
    </row>
    <row r="36" spans="2:5" s="26" customFormat="1" ht="12" customHeight="1">
      <c r="B36" s="28" t="s">
        <v>70</v>
      </c>
      <c r="C36" s="28"/>
      <c r="D36" s="28"/>
      <c r="E36" s="9">
        <f>'[2]на июль 15г'!$J$333*15</f>
        <v>14335.142899232747</v>
      </c>
    </row>
    <row r="37" spans="2:5" s="26" customFormat="1" ht="12" customHeight="1">
      <c r="B37" s="28" t="s">
        <v>71</v>
      </c>
      <c r="C37" s="47"/>
      <c r="D37" s="47"/>
      <c r="E37" s="7">
        <f>12*214.6</f>
        <v>2575.2</v>
      </c>
    </row>
    <row r="38" spans="2:5" s="27" customFormat="1" ht="14.25" customHeight="1">
      <c r="B38" s="28" t="s">
        <v>80</v>
      </c>
      <c r="C38" s="28"/>
      <c r="D38" s="28"/>
      <c r="E38" s="9">
        <f>121*18</f>
        <v>2178</v>
      </c>
    </row>
    <row r="39" spans="2:5" s="26" customFormat="1" ht="14.25" customHeight="1">
      <c r="B39" s="28" t="s">
        <v>78</v>
      </c>
      <c r="C39" s="28"/>
      <c r="D39" s="28"/>
      <c r="E39" s="8">
        <f>57*'[1]на июль 15г'!$J$198</f>
        <v>9376.958522108429</v>
      </c>
    </row>
    <row r="40" spans="2:5" s="26" customFormat="1" ht="12" customHeight="1">
      <c r="B40" s="28" t="s">
        <v>41</v>
      </c>
      <c r="C40" s="28"/>
      <c r="D40" s="28"/>
      <c r="E40" s="9">
        <f>63*'[1]на июль 15г'!$J$323</f>
        <v>6298.456173981597</v>
      </c>
    </row>
    <row r="41" spans="2:5" s="26" customFormat="1" ht="12" customHeight="1">
      <c r="B41" s="28" t="s">
        <v>73</v>
      </c>
      <c r="C41" s="28"/>
      <c r="D41" s="28"/>
      <c r="E41" s="9">
        <f>1*'[1]на июль 15г'!$J$251</f>
        <v>5019.891178155766</v>
      </c>
    </row>
    <row r="42" spans="2:5" s="3" customFormat="1" ht="12" customHeight="1">
      <c r="B42" s="28" t="s">
        <v>54</v>
      </c>
      <c r="C42" s="28"/>
      <c r="D42" s="28"/>
      <c r="E42" s="9">
        <f>3*'[1]на июль 15г'!$J$238</f>
        <v>15312.306139059074</v>
      </c>
    </row>
    <row r="43" spans="2:5" s="26" customFormat="1" ht="12" customHeight="1">
      <c r="B43" s="28" t="s">
        <v>6</v>
      </c>
      <c r="C43" s="28"/>
      <c r="D43" s="28"/>
      <c r="E43" s="8">
        <f>110*'[1]на июль 15г'!$J$211</f>
        <v>6337.103468261814</v>
      </c>
    </row>
    <row r="44" spans="2:5" s="26" customFormat="1" ht="14.25" customHeight="1">
      <c r="B44" s="28" t="s">
        <v>68</v>
      </c>
      <c r="C44" s="28"/>
      <c r="D44" s="28"/>
      <c r="E44" s="8">
        <f>35*'[1]на июль 15г'!$J$211</f>
        <v>2016.3511035378497</v>
      </c>
    </row>
    <row r="45" spans="2:5" s="26" customFormat="1" ht="12" customHeight="1">
      <c r="B45" s="28" t="s">
        <v>5</v>
      </c>
      <c r="C45" s="28"/>
      <c r="D45" s="28"/>
      <c r="E45" s="9">
        <f>3*'[1]на июль 15г'!$J$264</f>
        <v>212.6829652871575</v>
      </c>
    </row>
    <row r="46" spans="2:5" ht="12" customHeight="1">
      <c r="B46" s="28" t="s">
        <v>17</v>
      </c>
      <c r="C46" s="28"/>
      <c r="D46" s="28"/>
      <c r="E46" s="9">
        <f>2*'[1]на июль 15г'!$J$434</f>
        <v>1224.7278445285513</v>
      </c>
    </row>
    <row r="47" spans="2:8" ht="12" customHeight="1">
      <c r="B47" s="28" t="s">
        <v>8</v>
      </c>
      <c r="C47" s="28"/>
      <c r="D47" s="28"/>
      <c r="E47" s="9">
        <f>6*'[1]на июль 15г'!$J$444</f>
        <v>4107.694928894994</v>
      </c>
      <c r="H47" s="3"/>
    </row>
    <row r="48" spans="2:5" s="3" customFormat="1" ht="12" customHeight="1">
      <c r="B48" s="28" t="s">
        <v>4</v>
      </c>
      <c r="C48" s="28"/>
      <c r="D48" s="28"/>
      <c r="E48" s="9">
        <f>4*'[1]на июль 15г'!$J$454</f>
        <v>3455.707551556474</v>
      </c>
    </row>
    <row r="49" spans="2:5" s="3" customFormat="1" ht="12" customHeight="1">
      <c r="B49" s="28" t="s">
        <v>13</v>
      </c>
      <c r="C49" s="28"/>
      <c r="D49" s="28"/>
      <c r="E49" s="9">
        <f>4*'[1]на июль 15г'!$J$474</f>
        <v>4302.024761035088</v>
      </c>
    </row>
    <row r="50" spans="2:5" ht="12" customHeight="1">
      <c r="B50" s="28" t="s">
        <v>16</v>
      </c>
      <c r="C50" s="28"/>
      <c r="D50" s="28"/>
      <c r="E50" s="9">
        <f>14*'[1]на июль 15г'!$J$484</f>
        <v>18258.245373794045</v>
      </c>
    </row>
    <row r="51" spans="2:5" ht="12" customHeight="1">
      <c r="B51" s="28" t="s">
        <v>51</v>
      </c>
      <c r="C51" s="28"/>
      <c r="D51" s="28"/>
      <c r="E51" s="9">
        <f>2*'[1]на июль 15г'!$J$504</f>
        <v>3528.240399591489</v>
      </c>
    </row>
    <row r="52" spans="2:5" ht="12" customHeight="1">
      <c r="B52" s="28" t="s">
        <v>50</v>
      </c>
      <c r="C52" s="28"/>
      <c r="D52" s="28"/>
      <c r="E52" s="9">
        <f>4*'[1]на июль 15г'!$J$643</f>
        <v>40212.52919536205</v>
      </c>
    </row>
    <row r="53" spans="2:5" s="3" customFormat="1" ht="12" customHeight="1">
      <c r="B53" s="28" t="s">
        <v>18</v>
      </c>
      <c r="C53" s="28"/>
      <c r="D53" s="28"/>
      <c r="E53" s="9">
        <f>2*('[1]на июль 15г'!$J$699+'[1]на июль 15г'!$J$677)</f>
        <v>4357.70576277048</v>
      </c>
    </row>
    <row r="54" spans="2:5" s="3" customFormat="1" ht="12" customHeight="1">
      <c r="B54" s="28" t="s">
        <v>42</v>
      </c>
      <c r="C54" s="28"/>
      <c r="D54" s="28"/>
      <c r="E54" s="9">
        <f>1*2*'[1]на июль 15г'!$J$677</f>
        <v>1573.2261886109181</v>
      </c>
    </row>
    <row r="55" spans="2:5" ht="15">
      <c r="B55" s="28" t="s">
        <v>49</v>
      </c>
      <c r="C55" s="28"/>
      <c r="D55" s="28"/>
      <c r="E55" s="9">
        <f>2.5*'[1]на июль 15г'!$J$565</f>
        <v>1271.4625358365959</v>
      </c>
    </row>
    <row r="56" spans="2:5" ht="12" customHeight="1">
      <c r="B56" s="28" t="s">
        <v>48</v>
      </c>
      <c r="C56" s="28"/>
      <c r="D56" s="28"/>
      <c r="E56" s="9">
        <f>2.5*'[1]на июль 15г'!$J$535</f>
        <v>991.7987597519756</v>
      </c>
    </row>
    <row r="57" spans="2:5" ht="12" customHeight="1">
      <c r="B57" s="28" t="s">
        <v>47</v>
      </c>
      <c r="C57" s="28"/>
      <c r="D57" s="28"/>
      <c r="E57" s="9">
        <f>10*'[1]на июль 15г'!$J$677</f>
        <v>7866.130943054591</v>
      </c>
    </row>
    <row r="58" spans="2:5" ht="12" customHeight="1">
      <c r="B58" s="28" t="s">
        <v>52</v>
      </c>
      <c r="C58" s="28"/>
      <c r="D58" s="28"/>
      <c r="E58" s="9">
        <f>2*'[1]на июль 15г'!$J$688</f>
        <v>1953.562348610918</v>
      </c>
    </row>
    <row r="59" spans="2:5" ht="12" customHeight="1">
      <c r="B59" s="28" t="s">
        <v>53</v>
      </c>
      <c r="C59" s="28"/>
      <c r="D59" s="28"/>
      <c r="E59" s="9">
        <f>4*'[1]на июль 15г'!$J$699</f>
        <v>5568.959148319124</v>
      </c>
    </row>
    <row r="60" spans="2:5" ht="12" customHeight="1">
      <c r="B60" s="28" t="s">
        <v>75</v>
      </c>
      <c r="C60" s="28"/>
      <c r="D60" s="28"/>
      <c r="E60" s="7">
        <f>4*772.99</f>
        <v>3091.96</v>
      </c>
    </row>
    <row r="61" spans="2:5" ht="12" customHeight="1">
      <c r="B61" s="51" t="s">
        <v>2</v>
      </c>
      <c r="C61" s="52"/>
      <c r="D61" s="52"/>
      <c r="E61" s="10">
        <f>1*'[1]на июль 15г'!$J$915</f>
        <v>467.02159089779934</v>
      </c>
    </row>
    <row r="62" spans="2:5" ht="12" customHeight="1">
      <c r="B62" s="28" t="s">
        <v>77</v>
      </c>
      <c r="C62" s="28"/>
      <c r="D62" s="28"/>
      <c r="E62" s="7">
        <v>7543.46</v>
      </c>
    </row>
    <row r="63" spans="2:5" ht="26.25" customHeight="1">
      <c r="B63" s="28" t="s">
        <v>76</v>
      </c>
      <c r="C63" s="28"/>
      <c r="D63" s="28"/>
      <c r="E63" s="13">
        <f>16984.78+1423</f>
        <v>18407.78</v>
      </c>
    </row>
    <row r="64" spans="2:5" ht="15" customHeight="1">
      <c r="B64" s="28" t="s">
        <v>67</v>
      </c>
      <c r="C64" s="28"/>
      <c r="D64" s="28"/>
      <c r="E64" s="13">
        <v>43674.28</v>
      </c>
    </row>
    <row r="65" spans="2:5" ht="12" customHeight="1">
      <c r="B65" s="28" t="s">
        <v>61</v>
      </c>
      <c r="C65" s="28"/>
      <c r="D65" s="28"/>
      <c r="E65" s="7">
        <v>5481.35</v>
      </c>
    </row>
    <row r="66" spans="2:5" ht="12" customHeight="1">
      <c r="B66" s="28" t="s">
        <v>59</v>
      </c>
      <c r="C66" s="28"/>
      <c r="D66" s="28"/>
      <c r="E66" s="8">
        <f>1540.6</f>
        <v>1540.6</v>
      </c>
    </row>
    <row r="67" spans="2:5" s="24" customFormat="1" ht="12.75" customHeight="1">
      <c r="B67" s="28" t="s">
        <v>79</v>
      </c>
      <c r="C67" s="28"/>
      <c r="D67" s="28"/>
      <c r="E67" s="7">
        <v>6000</v>
      </c>
    </row>
    <row r="68" spans="2:5" s="26" customFormat="1" ht="12.75" customHeight="1">
      <c r="B68" s="28" t="s">
        <v>30</v>
      </c>
      <c r="C68" s="47"/>
      <c r="D68" s="47"/>
      <c r="E68" s="7">
        <v>1421</v>
      </c>
    </row>
    <row r="69" spans="2:5" ht="12.75" customHeight="1">
      <c r="B69" s="28" t="s">
        <v>45</v>
      </c>
      <c r="C69" s="47"/>
      <c r="D69" s="47"/>
      <c r="E69" s="7">
        <v>89.8</v>
      </c>
    </row>
    <row r="70" spans="2:5" ht="12" customHeight="1">
      <c r="B70" s="19"/>
      <c r="C70" s="19"/>
      <c r="D70" s="19"/>
      <c r="E70" s="20">
        <f>SUM(E5:E69)</f>
        <v>1596410.9927423308</v>
      </c>
    </row>
    <row r="71" spans="3:5" ht="12" customHeight="1">
      <c r="C71" s="21" t="s">
        <v>44</v>
      </c>
      <c r="D71" s="49">
        <f>'[3]Лист1'!$B$67</f>
        <v>1666173.72</v>
      </c>
      <c r="E71" s="50"/>
    </row>
    <row r="72" spans="3:8" ht="12" customHeight="1">
      <c r="C72" s="21" t="s">
        <v>7</v>
      </c>
      <c r="D72" s="41">
        <f>'[3]Лист1'!$C$67</f>
        <v>1659455.32</v>
      </c>
      <c r="E72" s="42"/>
      <c r="H72" s="23"/>
    </row>
    <row r="73" spans="3:8" ht="12" customHeight="1">
      <c r="C73" s="21" t="s">
        <v>60</v>
      </c>
      <c r="D73" s="22"/>
      <c r="E73" s="25">
        <f>E70</f>
        <v>1596410.9927423308</v>
      </c>
      <c r="H73" s="5"/>
    </row>
  </sheetData>
  <sheetProtection password="CCF3" sheet="1" objects="1" scenarios="1" selectLockedCells="1" selectUnlockedCells="1"/>
  <mergeCells count="71">
    <mergeCell ref="B61:D61"/>
    <mergeCell ref="B60:D60"/>
    <mergeCell ref="B57:D57"/>
    <mergeCell ref="B69:D69"/>
    <mergeCell ref="B67:D67"/>
    <mergeCell ref="D71:E71"/>
    <mergeCell ref="B63:D63"/>
    <mergeCell ref="B6:D6"/>
    <mergeCell ref="B11:D11"/>
    <mergeCell ref="B52:D52"/>
    <mergeCell ref="B28:D28"/>
    <mergeCell ref="B62:D62"/>
    <mergeCell ref="B37:D37"/>
    <mergeCell ref="B66:D66"/>
    <mergeCell ref="B65:D65"/>
    <mergeCell ref="B68:D68"/>
    <mergeCell ref="B27:D27"/>
    <mergeCell ref="B16:D17"/>
    <mergeCell ref="B5:D5"/>
    <mergeCell ref="B7:D7"/>
    <mergeCell ref="E16:E17"/>
    <mergeCell ref="B18:D19"/>
    <mergeCell ref="E18:E19"/>
    <mergeCell ref="B53:D53"/>
    <mergeCell ref="B36:D36"/>
    <mergeCell ref="B22:D22"/>
    <mergeCell ref="B24:D24"/>
    <mergeCell ref="B21:D21"/>
    <mergeCell ref="B26:D26"/>
    <mergeCell ref="B25:D25"/>
    <mergeCell ref="B12:D12"/>
    <mergeCell ref="D72:E72"/>
    <mergeCell ref="B44:D44"/>
    <mergeCell ref="B29:D29"/>
    <mergeCell ref="B31:D31"/>
    <mergeCell ref="B35:D35"/>
    <mergeCell ref="B30:D30"/>
    <mergeCell ref="B39:D39"/>
    <mergeCell ref="B43:D43"/>
    <mergeCell ref="B33:D33"/>
    <mergeCell ref="B40:D40"/>
    <mergeCell ref="B8:D8"/>
    <mergeCell ref="B4:E4"/>
    <mergeCell ref="B42:D42"/>
    <mergeCell ref="B47:D47"/>
    <mergeCell ref="B56:D56"/>
    <mergeCell ref="B45:D45"/>
    <mergeCell ref="B34:D34"/>
    <mergeCell ref="B32:D32"/>
    <mergeCell ref="B23:D23"/>
    <mergeCell ref="B20:D20"/>
    <mergeCell ref="B51:D51"/>
    <mergeCell ref="B3:D3"/>
    <mergeCell ref="B48:D48"/>
    <mergeCell ref="A1:E1"/>
    <mergeCell ref="B59:D59"/>
    <mergeCell ref="B50:D50"/>
    <mergeCell ref="B58:D58"/>
    <mergeCell ref="B54:D54"/>
    <mergeCell ref="B14:D14"/>
    <mergeCell ref="B49:D49"/>
    <mergeCell ref="B38:D38"/>
    <mergeCell ref="B64:D64"/>
    <mergeCell ref="B46:D46"/>
    <mergeCell ref="H3:L3"/>
    <mergeCell ref="B15:D15"/>
    <mergeCell ref="B9:D9"/>
    <mergeCell ref="B10:D10"/>
    <mergeCell ref="B13:D13"/>
    <mergeCell ref="B55:D55"/>
    <mergeCell ref="B41:D41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2020-03-27T03:10:51Z</dcterms:modified>
  <cp:category/>
  <cp:version/>
  <cp:contentType/>
  <cp:contentStatus/>
</cp:coreProperties>
</file>