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  <externalReference r:id="rId7"/>
  </externalReferences>
  <definedNames/>
  <calcPr calcMode="autoNoTable" fullCalcOnLoad="1"/>
</workbook>
</file>

<file path=xl/sharedStrings.xml><?xml version="1.0" encoding="utf-8"?>
<sst xmlns="http://schemas.openxmlformats.org/spreadsheetml/2006/main" count="66" uniqueCount="66">
  <si>
    <t>Сгруппированный по операциям</t>
  </si>
  <si>
    <t>Список операций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</si>
  <si>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</si>
  <si>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</si>
  <si>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</si>
  <si>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</si>
  <si>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Оплачено по дому:</t>
  </si>
  <si>
    <t>Опиловка деревьев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</si>
  <si>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</si>
  <si>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</si>
  <si>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</si>
  <si>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</si>
  <si>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</si>
  <si>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</si>
  <si>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</si>
  <si>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</si>
  <si>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Смена внутренних трубопроводов из стальных труб диаметром: до 50 мм</t>
  </si>
  <si>
    <t>Ремонт лавочек</t>
  </si>
  <si>
    <t>Смена внутренних трубопроводов из стальных труб диаметром: до 15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</si>
  <si>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</si>
  <si>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</si>
  <si>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</si>
  <si>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</si>
  <si>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</si>
  <si>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</si>
  <si>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</si>
  <si>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Ремонт отмостки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</si>
  <si>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</si>
  <si>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</si>
  <si>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</si>
  <si>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</si>
  <si>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</si>
  <si>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</si>
  <si>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</si>
  <si>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Адрес дома: ЛЕНИНА ПР., 92</t>
  </si>
  <si>
    <t>Смена патронов</t>
  </si>
  <si>
    <t>Смена сборки диаметром 20 мм</t>
  </si>
  <si>
    <t>Автомат одно-, двух-, трехполюсный, устанавливаемый на конструкции: на стене или колонне, на ток до 100 А</t>
  </si>
  <si>
    <t>Ремонт подвальных окон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</si>
  <si>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</si>
  <si>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</si>
  <si>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</si>
  <si>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Смена вентилей и клапанов обратных муфтовых диаметром:  50 мм</t>
  </si>
  <si>
    <t>Смена вентилей и клапанов обратных муфтовых диаметром:  20 мм</t>
  </si>
  <si>
    <t>Смена вентилей и клапанов обратных муфтовых диаметром:  25 мм</t>
  </si>
  <si>
    <t>Прокладка кабеля АВВГ 2*2,5</t>
  </si>
  <si>
    <t>Ремонт перил</t>
  </si>
  <si>
    <t xml:space="preserve">Ремонт водосточных труб </t>
  </si>
  <si>
    <t>Ремонт перил на лоджии</t>
  </si>
  <si>
    <t>Итого затрачено по дому:</t>
  </si>
  <si>
    <t xml:space="preserve">Начислено по дому: </t>
  </si>
  <si>
    <t>Количество</t>
  </si>
  <si>
    <t xml:space="preserve">общая площадь </t>
  </si>
  <si>
    <t>чердак</t>
  </si>
  <si>
    <t>стояки</t>
  </si>
  <si>
    <t>Сумма</t>
  </si>
  <si>
    <t>Утепление м/п швов кв.79</t>
  </si>
  <si>
    <t xml:space="preserve">Смена ламп: светодиодных </t>
  </si>
  <si>
    <t>Замена датчиков движения</t>
  </si>
  <si>
    <t>Установка светильников</t>
  </si>
  <si>
    <r>
      <t>Присоединение к зажимам жил проводов или кабелей сечением: до 2,5 мм</t>
    </r>
    <r>
      <rPr>
        <vertAlign val="superscript"/>
        <sz val="9"/>
        <color indexed="8"/>
        <rFont val="Arial"/>
        <family val="2"/>
      </rPr>
      <t>2</t>
    </r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</si>
  <si>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</si>
  <si>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>Ремонт м/п швов кв.9,14,18,23,67,68</t>
  </si>
  <si>
    <t>Монтаж прожекторов светодиодных</t>
  </si>
  <si>
    <t>Смена фланцев диаметром 50 мм</t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</si>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</sst>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9" fillId="20" borderId="0">
      <alignment horizontal="left" vertical="center"/>
      <protection/>
    </xf>
    <xf numFmtId="0" fontId="28" fillId="21" borderId="0">
      <alignment horizontal="center" vertical="center"/>
      <protection/>
    </xf>
    <xf numFmtId="0" fontId="29" fillId="0" borderId="0">
      <alignment horizontal="right" vertical="center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35" borderId="0" xfId="0" applyFill="1" applyAlignment="1">
      <alignment wrapText="1"/>
    </xf>
    <xf numFmtId="0" fontId="38" fillId="0" borderId="0" xfId="0" applyFont="1" applyAlignment="1">
      <alignment wrapText="1"/>
    </xf>
    <xf numFmtId="0" fontId="0" fillId="35" borderId="0" xfId="0" applyFill="1" applyAlignment="1">
      <alignment wrapText="1"/>
    </xf>
    <xf numFmtId="4" fontId="26" fillId="35" borderId="0" xfId="0" applyNumberFormat="1" applyFont="1" applyFill="1" applyAlignment="1">
      <alignment wrapText="1"/>
    </xf>
    <xf numFmtId="0" fontId="28" fillId="35" borderId="0" xfId="45" applyFill="1" applyAlignment="1" quotePrefix="1">
      <alignment horizontal="right" vertical="top" wrapText="1"/>
      <protection/>
    </xf>
    <xf numFmtId="4" fontId="28" fillId="35" borderId="10" xfId="39" applyNumberFormat="1" applyFill="1" applyBorder="1" applyAlignment="1" quotePrefix="1">
      <alignment vertical="top" wrapText="1"/>
      <protection/>
    </xf>
    <xf numFmtId="0" fontId="0" fillId="35" borderId="10" xfId="0" applyFill="1" applyBorder="1" applyAlignment="1">
      <alignment wrapText="1"/>
    </xf>
    <xf numFmtId="0" fontId="28" fillId="35" borderId="10" xfId="39" applyFill="1" applyBorder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8" fillId="0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8" fillId="21" borderId="12" xfId="41" applyBorder="1" applyAlignment="1" quotePrefix="1">
      <alignment horizontal="center" vertical="center" wrapText="1"/>
      <protection/>
    </xf>
    <xf numFmtId="0" fontId="29" fillId="0" borderId="12" xfId="42" applyNumberFormat="1" applyFill="1" applyBorder="1" applyAlignment="1" quotePrefix="1">
      <alignment horizontal="right" vertical="center" wrapText="1"/>
      <protection/>
    </xf>
    <xf numFmtId="2" fontId="0" fillId="0" borderId="0" xfId="0" applyNumberFormat="1" applyFill="1" applyAlignment="1">
      <alignment wrapText="1"/>
    </xf>
    <xf numFmtId="0" fontId="0" fillId="0" borderId="12" xfId="0" applyFill="1" applyBorder="1" applyAlignment="1">
      <alignment horizontal="center" wrapText="1"/>
    </xf>
    <xf numFmtId="4" fontId="48" fillId="35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29" fillId="0" borderId="12" xfId="42" applyNumberFormat="1" applyFill="1" applyBorder="1" applyAlignment="1" quotePrefix="1">
      <alignment horizontal="right" vertical="center" wrapText="1"/>
      <protection/>
    </xf>
    <xf numFmtId="0" fontId="29" fillId="0" borderId="12" xfId="42" applyNumberFormat="1" applyFont="1" applyFill="1" applyBorder="1" applyAlignment="1" quotePrefix="1">
      <alignment horizontal="right" vertical="center" wrapText="1"/>
      <protection/>
    </xf>
    <xf numFmtId="2" fontId="29" fillId="0" borderId="12" xfId="42" applyNumberFormat="1" applyFont="1" applyFill="1" applyBorder="1" applyAlignment="1" quotePrefix="1">
      <alignment horizontal="right" vertical="center" wrapText="1"/>
      <protection/>
    </xf>
    <xf numFmtId="43" fontId="29" fillId="0" borderId="12" xfId="42" applyNumberFormat="1" applyFont="1" applyFill="1" applyBorder="1" applyAlignment="1" quotePrefix="1">
      <alignment horizontal="right" vertical="center" wrapText="1"/>
      <protection/>
    </xf>
    <xf numFmtId="2" fontId="2" fillId="0" borderId="12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6" borderId="12" xfId="0" applyFill="1" applyBorder="1" applyAlignment="1">
      <alignment horizontal="center" wrapText="1"/>
    </xf>
    <xf numFmtId="0" fontId="29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0" fontId="27" fillId="0" borderId="0" xfId="33" applyFill="1" applyAlignment="1" quotePrefix="1">
      <alignment horizontal="left" vertical="center" wrapText="1"/>
      <protection/>
    </xf>
    <xf numFmtId="0" fontId="0" fillId="0" borderId="0" xfId="0" applyFill="1" applyAlignment="1">
      <alignment horizontal="left" wrapText="1"/>
    </xf>
    <xf numFmtId="0" fontId="28" fillId="0" borderId="10" xfId="34" applyFill="1" applyBorder="1" applyAlignment="1" quotePrefix="1">
      <alignment horizontal="left" vertical="center" wrapText="1"/>
      <protection/>
    </xf>
    <xf numFmtId="0" fontId="29" fillId="0" borderId="12" xfId="43" applyFill="1" applyBorder="1" applyAlignment="1" quotePrefix="1">
      <alignment horizontal="left" vertical="top" wrapText="1"/>
      <protection/>
    </xf>
    <xf numFmtId="0" fontId="29" fillId="0" borderId="12" xfId="37" applyFill="1" applyBorder="1" applyAlignment="1" quotePrefix="1">
      <alignment horizontal="left" vertical="top" wrapText="1"/>
      <protection/>
    </xf>
    <xf numFmtId="0" fontId="2" fillId="0" borderId="12" xfId="0" applyFont="1" applyFill="1" applyBorder="1" applyAlignment="1">
      <alignment horizontal="left" wrapText="1"/>
    </xf>
    <xf numFmtId="0" fontId="28" fillId="21" borderId="13" xfId="41" applyBorder="1" applyAlignment="1" quotePrefix="1">
      <alignment horizontal="center" vertical="center" wrapText="1"/>
      <protection/>
    </xf>
    <xf numFmtId="0" fontId="28" fillId="21" borderId="14" xfId="41" applyBorder="1" applyAlignment="1" quotePrefix="1">
      <alignment horizontal="center" vertical="center" wrapText="1"/>
      <protection/>
    </xf>
    <xf numFmtId="0" fontId="29" fillId="37" borderId="15" xfId="40" applyFill="1" applyBorder="1" applyAlignment="1" quotePrefix="1">
      <alignment horizontal="left" vertical="center" wrapText="1"/>
      <protection/>
    </xf>
    <xf numFmtId="0" fontId="0" fillId="37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" fontId="29" fillId="0" borderId="12" xfId="42" applyNumberFormat="1" applyFill="1" applyBorder="1" applyAlignment="1" quotePrefix="1">
      <alignment horizontal="right" vertical="center" wrapText="1"/>
      <protection/>
    </xf>
    <xf numFmtId="4" fontId="28" fillId="35" borderId="16" xfId="46" applyNumberFormat="1" applyFill="1" applyBorder="1" applyAlignment="1" quotePrefix="1">
      <alignment horizontal="right" vertical="top" wrapText="1"/>
      <protection/>
    </xf>
    <xf numFmtId="0" fontId="0" fillId="35" borderId="16" xfId="0" applyFill="1" applyBorder="1" applyAlignment="1">
      <alignment wrapText="1"/>
    </xf>
    <xf numFmtId="4" fontId="28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%20&#1048;&#1058;&#1054;&#1043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51">
          <cell r="J251">
            <v>5019.891178155766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323">
          <cell r="J323">
            <v>99.97549482510472</v>
          </cell>
        </row>
        <row r="333">
          <cell r="J333">
            <v>955.6761932821831</v>
          </cell>
        </row>
        <row r="434">
          <cell r="J434">
            <v>612.3639222642756</v>
          </cell>
        </row>
        <row r="444">
          <cell r="J444">
            <v>684.615821482499</v>
          </cell>
        </row>
        <row r="454">
          <cell r="J454">
            <v>863.9268878891185</v>
          </cell>
        </row>
        <row r="484">
          <cell r="J484">
            <v>1304.1603838424317</v>
          </cell>
        </row>
        <row r="535">
          <cell r="J535">
            <v>396.71950390079024</v>
          </cell>
        </row>
        <row r="565">
          <cell r="J565">
            <v>508.58501433463834</v>
          </cell>
        </row>
        <row r="677">
          <cell r="J677">
            <v>786.6130943054591</v>
          </cell>
        </row>
        <row r="688">
          <cell r="J688">
            <v>976.781174305459</v>
          </cell>
        </row>
        <row r="699">
          <cell r="J699">
            <v>1392.239787079781</v>
          </cell>
        </row>
        <row r="732">
          <cell r="J732">
            <v>5007.515379044766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988">
          <cell r="J988">
            <v>752.970178486447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3">
          <cell r="B53">
            <v>684338.33</v>
          </cell>
          <cell r="C53">
            <v>667231.7199999999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290">
          <cell r="J290">
            <v>609.0492647362124</v>
          </cell>
        </row>
        <row r="940">
          <cell r="J940">
            <v>546.9912167362124</v>
          </cell>
        </row>
        <row r="1057">
          <cell r="J1057">
            <v>114.48298079756351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10" zoomScaleNormal="110" workbookViewId="0" topLeftCell="A46">
      <selection activeCell="D65" sqref="D65"/>
    </sheetView>
  </sheetViews>
  <sheetFormatPr defaultColWidth="9.140625" defaultRowHeight="15"/>
  <cols>
    <col min="1" max="1" width="2.140625" style="1" customWidth="1"/>
    <col min="2" max="2" width="6.8515625" style="1" customWidth="1"/>
    <col min="3" max="3" width="32.57421875" style="1" customWidth="1"/>
    <col min="4" max="4" width="33.00390625" style="1" customWidth="1"/>
    <col min="5" max="5" width="12.140625" style="1" customWidth="1"/>
    <col min="6" max="6" width="13.8515625" style="1" customWidth="1"/>
    <col min="7" max="7" width="3.7109375" style="1" customWidth="1"/>
    <col min="8" max="9" width="11.57421875" style="1" bestFit="1" customWidth="1"/>
    <col min="10" max="16384" width="9.140625" style="1" customWidth="1"/>
  </cols>
  <sheetData>
    <row r="1" spans="1:12" s="3" customFormat="1" ht="24" customHeight="1">
      <c r="A1" s="47" t="s">
        <v>39</v>
      </c>
      <c r="B1" s="48"/>
      <c r="C1" s="48"/>
      <c r="D1" s="48"/>
      <c r="E1" s="48"/>
      <c r="F1" s="48"/>
      <c r="G1" s="48"/>
      <c r="H1" s="11"/>
      <c r="I1" s="11"/>
      <c r="J1" s="11"/>
      <c r="K1" s="11"/>
      <c r="L1" s="11"/>
    </row>
    <row r="2" spans="1:12" ht="12" customHeight="1">
      <c r="A2" s="11"/>
      <c r="B2" s="49" t="s">
        <v>0</v>
      </c>
      <c r="C2" s="49"/>
      <c r="D2" s="49"/>
      <c r="E2" s="26"/>
      <c r="F2" s="11"/>
      <c r="G2" s="11"/>
      <c r="H2" s="11"/>
      <c r="I2" s="11"/>
      <c r="J2" s="11"/>
      <c r="K2" s="11"/>
      <c r="L2" s="11"/>
    </row>
    <row r="3" spans="1:12" ht="21" customHeight="1">
      <c r="A3" s="11"/>
      <c r="B3" s="53" t="s">
        <v>1</v>
      </c>
      <c r="C3" s="54"/>
      <c r="D3" s="54"/>
      <c r="E3" s="24" t="s">
        <v>55</v>
      </c>
      <c r="F3" s="11"/>
      <c r="G3" s="11"/>
      <c r="H3" s="44" t="s">
        <v>51</v>
      </c>
      <c r="I3" s="44"/>
      <c r="J3" s="44"/>
      <c r="K3" s="44"/>
      <c r="L3" s="44"/>
    </row>
    <row r="4" spans="1:12" ht="15" customHeight="1" thickBot="1">
      <c r="A4" s="11"/>
      <c r="B4" s="55" t="s">
        <v>34</v>
      </c>
      <c r="C4" s="56"/>
      <c r="D4" s="56"/>
      <c r="E4" s="56"/>
      <c r="F4" s="11"/>
      <c r="G4" s="11"/>
      <c r="H4" s="27" t="s">
        <v>20</v>
      </c>
      <c r="I4" s="27" t="s">
        <v>52</v>
      </c>
      <c r="J4" s="27" t="s">
        <v>33</v>
      </c>
      <c r="K4" s="27" t="s">
        <v>53</v>
      </c>
      <c r="L4" s="27" t="s">
        <v>54</v>
      </c>
    </row>
    <row r="5" spans="1:12" ht="24.75" customHeight="1" thickBot="1">
      <c r="A5" s="11"/>
      <c r="B5" s="50" t="s">
        <v>27</v>
      </c>
      <c r="C5" s="50"/>
      <c r="D5" s="50"/>
      <c r="E5" s="32">
        <f>2.05*J5*12+J5*2*2.05+2.05*4*J5</f>
        <v>32479.379999999997</v>
      </c>
      <c r="F5" s="37"/>
      <c r="G5" s="11"/>
      <c r="H5" s="12">
        <v>79</v>
      </c>
      <c r="I5" s="12">
        <v>3530.8</v>
      </c>
      <c r="J5" s="12">
        <v>880.2</v>
      </c>
      <c r="K5" s="12">
        <f>J5</f>
        <v>880.2</v>
      </c>
      <c r="L5" s="13">
        <v>56</v>
      </c>
    </row>
    <row r="6" spans="1:12" ht="37.5" customHeight="1">
      <c r="A6" s="11"/>
      <c r="B6" s="50" t="s">
        <v>21</v>
      </c>
      <c r="C6" s="50"/>
      <c r="D6" s="50"/>
      <c r="E6" s="32">
        <f>(I5*2.05*2)</f>
        <v>14476.279999999999</v>
      </c>
      <c r="F6" s="11"/>
      <c r="G6" s="11"/>
      <c r="H6" s="11"/>
      <c r="I6" s="11"/>
      <c r="J6" s="11"/>
      <c r="K6" s="11"/>
      <c r="L6" s="11"/>
    </row>
    <row r="7" spans="1:12" ht="12" customHeight="1">
      <c r="A7" s="11"/>
      <c r="B7" s="50" t="s">
        <v>22</v>
      </c>
      <c r="C7" s="50"/>
      <c r="D7" s="50"/>
      <c r="E7" s="32">
        <f>I5*2.05*2</f>
        <v>14476.279999999999</v>
      </c>
      <c r="F7" s="11"/>
      <c r="G7" s="11"/>
      <c r="H7" s="11"/>
      <c r="I7" s="11"/>
      <c r="J7" s="11"/>
      <c r="K7" s="11"/>
      <c r="L7" s="11"/>
    </row>
    <row r="8" spans="1:12" ht="13.5" customHeight="1" hidden="1">
      <c r="A8" s="11"/>
      <c r="B8" s="50" t="s">
        <v>23</v>
      </c>
      <c r="C8" s="50"/>
      <c r="D8" s="50"/>
      <c r="E8" s="32"/>
      <c r="F8" s="11"/>
      <c r="G8" s="11"/>
      <c r="H8" s="11"/>
      <c r="I8" s="11"/>
      <c r="J8" s="11"/>
      <c r="K8" s="11"/>
      <c r="L8" s="11"/>
    </row>
    <row r="9" spans="1:12" ht="25.5" customHeight="1">
      <c r="A9" s="11"/>
      <c r="B9" s="50" t="s">
        <v>24</v>
      </c>
      <c r="C9" s="50"/>
      <c r="D9" s="50"/>
      <c r="E9" s="32">
        <f>(3*121.53*2*I5/1000)*3</f>
        <v>7723.766232000002</v>
      </c>
      <c r="F9" s="11"/>
      <c r="G9" s="11"/>
      <c r="H9" s="11"/>
      <c r="I9" s="11"/>
      <c r="J9" s="11"/>
      <c r="K9" s="11"/>
      <c r="L9" s="11"/>
    </row>
    <row r="10" spans="1:12" ht="12" customHeight="1">
      <c r="A10" s="11"/>
      <c r="B10" s="50" t="s">
        <v>10</v>
      </c>
      <c r="C10" s="50"/>
      <c r="D10" s="50"/>
      <c r="E10" s="32">
        <f>12*I5*0.83</f>
        <v>35166.768000000004</v>
      </c>
      <c r="F10" s="38"/>
      <c r="G10" s="38"/>
      <c r="H10" s="11"/>
      <c r="I10" s="11"/>
      <c r="J10" s="11"/>
      <c r="K10" s="11"/>
      <c r="L10" s="11"/>
    </row>
    <row r="11" spans="1:12" ht="12" customHeight="1">
      <c r="A11" s="11"/>
      <c r="B11" s="50" t="s">
        <v>12</v>
      </c>
      <c r="C11" s="50"/>
      <c r="D11" s="50"/>
      <c r="E11" s="32">
        <f>12*I5*6.05</f>
        <v>256336.08000000002</v>
      </c>
      <c r="F11" s="38"/>
      <c r="G11" s="38"/>
      <c r="H11" s="11"/>
      <c r="I11" s="11"/>
      <c r="J11" s="11"/>
      <c r="K11" s="11"/>
      <c r="L11" s="11"/>
    </row>
    <row r="12" spans="1:12" ht="12" customHeight="1">
      <c r="A12" s="11"/>
      <c r="B12" s="50" t="s">
        <v>13</v>
      </c>
      <c r="C12" s="50"/>
      <c r="D12" s="50"/>
      <c r="E12" s="32">
        <f>1*L5*286.7*2</f>
        <v>32110.399999999998</v>
      </c>
      <c r="F12" s="38"/>
      <c r="G12" s="38"/>
      <c r="H12" s="11"/>
      <c r="I12" s="11"/>
      <c r="J12" s="11"/>
      <c r="K12" s="11"/>
      <c r="L12" s="11"/>
    </row>
    <row r="13" spans="1:12" ht="12" customHeight="1">
      <c r="A13" s="11"/>
      <c r="B13" s="50" t="s">
        <v>11</v>
      </c>
      <c r="C13" s="50"/>
      <c r="D13" s="50"/>
      <c r="E13" s="32">
        <f>12*I5*0.54</f>
        <v>22879.584000000006</v>
      </c>
      <c r="F13" s="38"/>
      <c r="G13" s="38"/>
      <c r="H13" s="11"/>
      <c r="I13" s="11"/>
      <c r="J13" s="11"/>
      <c r="K13" s="11"/>
      <c r="L13" s="11"/>
    </row>
    <row r="14" spans="1:12" ht="12" customHeight="1">
      <c r="A14" s="11"/>
      <c r="B14" s="51" t="s">
        <v>15</v>
      </c>
      <c r="C14" s="51"/>
      <c r="D14" s="51"/>
      <c r="E14" s="32">
        <v>15000</v>
      </c>
      <c r="F14" s="38"/>
      <c r="G14" s="38"/>
      <c r="H14" s="11"/>
      <c r="I14" s="11"/>
      <c r="J14" s="11"/>
      <c r="K14" s="11"/>
      <c r="L14" s="11"/>
    </row>
    <row r="15" spans="1:12" ht="6" customHeight="1">
      <c r="A15" s="11"/>
      <c r="B15" s="50" t="s">
        <v>14</v>
      </c>
      <c r="C15" s="50"/>
      <c r="D15" s="50"/>
      <c r="E15" s="58">
        <f>12*I5*0.65</f>
        <v>27540.240000000005</v>
      </c>
      <c r="F15" s="38"/>
      <c r="G15" s="38"/>
      <c r="H15" s="11"/>
      <c r="I15" s="11"/>
      <c r="J15" s="11"/>
      <c r="K15" s="11"/>
      <c r="L15" s="11"/>
    </row>
    <row r="16" spans="1:12" ht="6" customHeight="1">
      <c r="A16" s="11"/>
      <c r="B16" s="50"/>
      <c r="C16" s="50"/>
      <c r="D16" s="50"/>
      <c r="E16" s="58"/>
      <c r="F16" s="38"/>
      <c r="G16" s="38"/>
      <c r="H16" s="11"/>
      <c r="I16" s="11"/>
      <c r="J16" s="11"/>
      <c r="K16" s="11"/>
      <c r="L16" s="11"/>
    </row>
    <row r="17" spans="1:12" ht="6" customHeight="1">
      <c r="A17" s="11"/>
      <c r="B17" s="50" t="s">
        <v>25</v>
      </c>
      <c r="C17" s="50"/>
      <c r="D17" s="50"/>
      <c r="E17" s="58">
        <f>12*I5*1.73</f>
        <v>73299.40800000001</v>
      </c>
      <c r="F17" s="38"/>
      <c r="G17" s="38"/>
      <c r="H17" s="11"/>
      <c r="I17" s="11"/>
      <c r="J17" s="11"/>
      <c r="K17" s="11"/>
      <c r="L17" s="11"/>
    </row>
    <row r="18" spans="1:12" ht="6" customHeight="1">
      <c r="A18" s="11"/>
      <c r="B18" s="50"/>
      <c r="C18" s="50"/>
      <c r="D18" s="50"/>
      <c r="E18" s="58"/>
      <c r="F18" s="38"/>
      <c r="G18" s="38"/>
      <c r="H18" s="11"/>
      <c r="I18" s="11"/>
      <c r="J18" s="11"/>
      <c r="K18" s="11"/>
      <c r="L18" s="11"/>
    </row>
    <row r="19" spans="1:12" ht="12" customHeight="1">
      <c r="A19" s="11"/>
      <c r="B19" s="50" t="s">
        <v>28</v>
      </c>
      <c r="C19" s="50"/>
      <c r="D19" s="50"/>
      <c r="E19" s="32">
        <f>12*I5*0.37</f>
        <v>15676.752000000002</v>
      </c>
      <c r="F19" s="38"/>
      <c r="G19" s="38"/>
      <c r="H19" s="11"/>
      <c r="I19" s="11"/>
      <c r="J19" s="11"/>
      <c r="K19" s="11"/>
      <c r="L19" s="11"/>
    </row>
    <row r="20" spans="1:12" ht="12" customHeight="1">
      <c r="A20" s="11"/>
      <c r="B20" s="50" t="s">
        <v>29</v>
      </c>
      <c r="C20" s="50"/>
      <c r="D20" s="50"/>
      <c r="E20" s="32">
        <f>H5*70%*2*137.35*0.38</f>
        <v>5772.545799999999</v>
      </c>
      <c r="F20" s="38"/>
      <c r="G20" s="38"/>
      <c r="H20" s="11"/>
      <c r="I20" s="11"/>
      <c r="J20" s="11"/>
      <c r="K20" s="11"/>
      <c r="L20" s="11"/>
    </row>
    <row r="21" spans="1:12" ht="12" customHeight="1">
      <c r="A21" s="11"/>
      <c r="B21" s="50" t="s">
        <v>30</v>
      </c>
      <c r="C21" s="50"/>
      <c r="D21" s="50"/>
      <c r="E21" s="32">
        <f>H5*70%*2*137.35*0.38</f>
        <v>5772.545799999999</v>
      </c>
      <c r="F21" s="38"/>
      <c r="G21" s="38"/>
      <c r="H21" s="11"/>
      <c r="I21" s="11"/>
      <c r="J21" s="11"/>
      <c r="K21" s="11"/>
      <c r="L21" s="11"/>
    </row>
    <row r="22" spans="1:12" ht="12" customHeight="1">
      <c r="A22" s="11"/>
      <c r="B22" s="50" t="s">
        <v>31</v>
      </c>
      <c r="C22" s="57"/>
      <c r="D22" s="57"/>
      <c r="E22" s="25">
        <f>68.68*20</f>
        <v>1373.6000000000001</v>
      </c>
      <c r="F22" s="38"/>
      <c r="G22" s="38"/>
      <c r="H22" s="11"/>
      <c r="I22" s="11"/>
      <c r="J22" s="11"/>
      <c r="K22" s="11"/>
      <c r="L22" s="11"/>
    </row>
    <row r="23" spans="1:12" ht="12" customHeight="1">
      <c r="A23" s="11"/>
      <c r="B23" s="50" t="s">
        <v>2</v>
      </c>
      <c r="C23" s="57"/>
      <c r="D23" s="57"/>
      <c r="E23" s="25">
        <f>68.68*18</f>
        <v>1236.2400000000002</v>
      </c>
      <c r="F23" s="38"/>
      <c r="G23" s="38"/>
      <c r="H23" s="11"/>
      <c r="I23" s="11"/>
      <c r="J23" s="11"/>
      <c r="K23" s="11"/>
      <c r="L23" s="11"/>
    </row>
    <row r="24" spans="1:12" ht="11.25" customHeight="1">
      <c r="A24" s="11"/>
      <c r="B24" s="50" t="s">
        <v>32</v>
      </c>
      <c r="C24" s="57"/>
      <c r="D24" s="57"/>
      <c r="E24" s="25">
        <f>68.68*10</f>
        <v>686.8000000000001</v>
      </c>
      <c r="F24" s="38"/>
      <c r="G24" s="38"/>
      <c r="H24" s="11"/>
      <c r="I24" s="11"/>
      <c r="J24" s="11"/>
      <c r="K24" s="11"/>
      <c r="L24" s="11"/>
    </row>
    <row r="25" spans="1:12" s="19" customFormat="1" ht="12.75" customHeight="1">
      <c r="A25" s="11"/>
      <c r="B25" s="45" t="s">
        <v>37</v>
      </c>
      <c r="C25" s="45"/>
      <c r="D25" s="45"/>
      <c r="E25" s="35">
        <f>'[4]на июль 15г'!$J$290+'[4]на июль 15г'!$J$940</f>
        <v>1156.0404814724247</v>
      </c>
      <c r="F25" s="11"/>
      <c r="G25" s="11"/>
      <c r="H25" s="11"/>
      <c r="I25" s="11"/>
      <c r="J25" s="11"/>
      <c r="K25" s="11"/>
      <c r="L25" s="11"/>
    </row>
    <row r="26" spans="2:5" s="42" customFormat="1" ht="12" customHeight="1">
      <c r="B26" s="45" t="s">
        <v>58</v>
      </c>
      <c r="C26" s="45"/>
      <c r="D26" s="45"/>
      <c r="E26" s="35">
        <f>2*'[1]на июль 15г'!$J$277</f>
        <v>1671.000241472425</v>
      </c>
    </row>
    <row r="27" spans="1:12" s="18" customFormat="1" ht="11.25" customHeight="1">
      <c r="A27" s="11"/>
      <c r="B27" s="45" t="s">
        <v>65</v>
      </c>
      <c r="C27" s="46"/>
      <c r="D27" s="46"/>
      <c r="E27" s="35">
        <f>2*'[1]на июль 15г'!$J$333</f>
        <v>1911.3523865643663</v>
      </c>
      <c r="F27" s="11"/>
      <c r="G27" s="11"/>
      <c r="H27" s="11"/>
      <c r="I27" s="11"/>
      <c r="J27" s="11"/>
      <c r="K27" s="11"/>
      <c r="L27" s="11"/>
    </row>
    <row r="28" spans="2:5" s="19" customFormat="1" ht="14.25" customHeight="1">
      <c r="B28" s="45" t="s">
        <v>60</v>
      </c>
      <c r="C28" s="45"/>
      <c r="D28" s="45"/>
      <c r="E28" s="35">
        <f>50.89*2</f>
        <v>101.78</v>
      </c>
    </row>
    <row r="29" spans="2:8" s="16" customFormat="1" ht="14.25" customHeight="1">
      <c r="B29" s="45" t="s">
        <v>61</v>
      </c>
      <c r="C29" s="45"/>
      <c r="D29" s="45"/>
      <c r="E29" s="34">
        <f>26*'[1]на июль 15г'!$J$198</f>
        <v>4277.209150435424</v>
      </c>
      <c r="H29" s="42"/>
    </row>
    <row r="30" spans="2:5" s="43" customFormat="1" ht="12.75" customHeight="1">
      <c r="B30" s="45" t="s">
        <v>45</v>
      </c>
      <c r="C30" s="45"/>
      <c r="D30" s="45"/>
      <c r="E30" s="34">
        <f>33*'[4]на июль 15г'!$J$1057</f>
        <v>3777.938366319596</v>
      </c>
    </row>
    <row r="31" spans="2:13" s="41" customFormat="1" ht="12" customHeight="1">
      <c r="B31" s="45" t="s">
        <v>63</v>
      </c>
      <c r="C31" s="45"/>
      <c r="D31" s="45"/>
      <c r="E31" s="35">
        <f>2*'[1]на июль 15г'!$J$251</f>
        <v>10039.782356311533</v>
      </c>
      <c r="F31" s="40"/>
      <c r="G31" s="40"/>
      <c r="H31" s="40"/>
      <c r="I31" s="40"/>
      <c r="J31" s="40"/>
      <c r="K31" s="40"/>
      <c r="L31" s="40"/>
      <c r="M31" s="40"/>
    </row>
    <row r="32" spans="2:13" s="42" customFormat="1" ht="12" customHeight="1">
      <c r="B32" s="45" t="s">
        <v>59</v>
      </c>
      <c r="C32" s="45"/>
      <c r="D32" s="45"/>
      <c r="E32" s="35">
        <f>2*'[2]на июль 15г'!$J$988</f>
        <v>1505.940356972894</v>
      </c>
      <c r="F32" s="40"/>
      <c r="G32" s="40"/>
      <c r="H32" s="40"/>
      <c r="I32" s="40"/>
      <c r="J32" s="40"/>
      <c r="K32" s="40"/>
      <c r="L32" s="40"/>
      <c r="M32" s="40"/>
    </row>
    <row r="33" spans="2:5" s="16" customFormat="1" ht="12" customHeight="1">
      <c r="B33" s="45" t="s">
        <v>35</v>
      </c>
      <c r="C33" s="45"/>
      <c r="D33" s="45"/>
      <c r="E33" s="35">
        <f>5*'[1]на июль 15г'!$J$323</f>
        <v>499.8774741255236</v>
      </c>
    </row>
    <row r="34" spans="2:5" s="16" customFormat="1" ht="14.25" customHeight="1">
      <c r="B34" s="45" t="s">
        <v>5</v>
      </c>
      <c r="C34" s="45"/>
      <c r="D34" s="45"/>
      <c r="E34" s="34">
        <f>8*'[1]на июль 15г'!$J$211</f>
        <v>460.8802522372228</v>
      </c>
    </row>
    <row r="35" spans="2:5" s="42" customFormat="1" ht="14.25" customHeight="1">
      <c r="B35" s="45" t="s">
        <v>57</v>
      </c>
      <c r="C35" s="45"/>
      <c r="D35" s="45"/>
      <c r="E35" s="34">
        <f>40*'[1]на июль 15г'!$J$211</f>
        <v>2304.401261186114</v>
      </c>
    </row>
    <row r="36" spans="2:5" s="16" customFormat="1" ht="12" customHeight="1">
      <c r="B36" s="45" t="s">
        <v>4</v>
      </c>
      <c r="C36" s="45"/>
      <c r="D36" s="45"/>
      <c r="E36" s="35">
        <f>2*'[1]на июль 15г'!$J$264</f>
        <v>141.78864352477166</v>
      </c>
    </row>
    <row r="37" spans="2:5" s="14" customFormat="1" ht="12" customHeight="1">
      <c r="B37" s="45" t="s">
        <v>64</v>
      </c>
      <c r="C37" s="45"/>
      <c r="D37" s="45"/>
      <c r="E37" s="33">
        <v>772.99</v>
      </c>
    </row>
    <row r="38" spans="2:6" s="9" customFormat="1" ht="11.25" customHeight="1">
      <c r="B38" s="45" t="s">
        <v>43</v>
      </c>
      <c r="C38" s="46"/>
      <c r="D38" s="46"/>
      <c r="E38" s="35">
        <f>2*'[1]на июль 15г'!$J$688</f>
        <v>1953.562348610918</v>
      </c>
      <c r="F38" s="17"/>
    </row>
    <row r="39" spans="2:5" s="15" customFormat="1" ht="11.25" customHeight="1">
      <c r="B39" s="45" t="s">
        <v>44</v>
      </c>
      <c r="C39" s="46"/>
      <c r="D39" s="46"/>
      <c r="E39" s="35">
        <f>1*'[1]на июль 15г'!$J$699</f>
        <v>1392.239787079781</v>
      </c>
    </row>
    <row r="40" spans="2:5" s="15" customFormat="1" ht="11.25" customHeight="1">
      <c r="B40" s="45" t="s">
        <v>42</v>
      </c>
      <c r="C40" s="46"/>
      <c r="D40" s="46"/>
      <c r="E40" s="35">
        <f>1*'[1]на июль 15г'!$J$732</f>
        <v>5007.515379044766</v>
      </c>
    </row>
    <row r="41" spans="2:5" s="9" customFormat="1" ht="12" customHeight="1">
      <c r="B41" s="45" t="s">
        <v>18</v>
      </c>
      <c r="C41" s="46"/>
      <c r="D41" s="46"/>
      <c r="E41" s="35">
        <f>4*'[1]на июль 15г'!$J$434</f>
        <v>2449.4556890571025</v>
      </c>
    </row>
    <row r="42" spans="2:5" s="31" customFormat="1" ht="12" customHeight="1">
      <c r="B42" s="45" t="s">
        <v>9</v>
      </c>
      <c r="C42" s="46"/>
      <c r="D42" s="46"/>
      <c r="E42" s="35">
        <f>4*'[1]на июль 15г'!$J$444</f>
        <v>2738.463285929996</v>
      </c>
    </row>
    <row r="43" spans="2:5" s="15" customFormat="1" ht="12" customHeight="1">
      <c r="B43" s="45" t="s">
        <v>3</v>
      </c>
      <c r="C43" s="46"/>
      <c r="D43" s="46"/>
      <c r="E43" s="35">
        <f>2*'[1]на июль 15г'!$J$454</f>
        <v>1727.853775778237</v>
      </c>
    </row>
    <row r="44" spans="2:5" s="15" customFormat="1" ht="12" customHeight="1">
      <c r="B44" s="45" t="s">
        <v>16</v>
      </c>
      <c r="C44" s="46"/>
      <c r="D44" s="46"/>
      <c r="E44" s="35">
        <f>4*'[1]на июль 15г'!$J$484</f>
        <v>5216.641535369727</v>
      </c>
    </row>
    <row r="45" spans="2:5" s="15" customFormat="1" ht="12" customHeight="1">
      <c r="B45" s="45" t="s">
        <v>36</v>
      </c>
      <c r="C45" s="46"/>
      <c r="D45" s="46"/>
      <c r="E45" s="35">
        <f>9*('[1]на июль 15г'!$J$677+'[1]на июль 15г'!$J$688)</f>
        <v>15870.548417498263</v>
      </c>
    </row>
    <row r="46" spans="2:5" s="9" customFormat="1" ht="12" customHeight="1">
      <c r="B46" s="45" t="s">
        <v>19</v>
      </c>
      <c r="C46" s="46"/>
      <c r="D46" s="46"/>
      <c r="E46" s="35">
        <f>2*('[1]на июль 15г'!$J$677+'[1]на июль 15г'!$J$699)</f>
        <v>4357.70576277048</v>
      </c>
    </row>
    <row r="47" spans="2:5" s="16" customFormat="1" ht="15">
      <c r="B47" s="52" t="s">
        <v>40</v>
      </c>
      <c r="C47" s="52"/>
      <c r="D47" s="52"/>
      <c r="E47" s="36">
        <f>3*'[1]на июль 15г'!$J$535</f>
        <v>1190.1585117023708</v>
      </c>
    </row>
    <row r="48" spans="2:5" s="16" customFormat="1" ht="25.5" customHeight="1">
      <c r="B48" s="52" t="s">
        <v>41</v>
      </c>
      <c r="C48" s="52"/>
      <c r="D48" s="52"/>
      <c r="E48" s="36">
        <f>3*'[1]на июль 15г'!$J$565</f>
        <v>1525.755043003915</v>
      </c>
    </row>
    <row r="49" spans="2:5" s="38" customFormat="1" ht="12.75" customHeight="1">
      <c r="B49" s="45" t="s">
        <v>8</v>
      </c>
      <c r="C49" s="45"/>
      <c r="D49" s="45"/>
      <c r="E49" s="33">
        <f>2201.44+550.57+3000</f>
        <v>5752.01</v>
      </c>
    </row>
    <row r="50" spans="2:5" s="20" customFormat="1" ht="12" customHeight="1">
      <c r="B50" s="45" t="s">
        <v>47</v>
      </c>
      <c r="C50" s="46"/>
      <c r="D50" s="46"/>
      <c r="E50" s="33">
        <v>1491.71</v>
      </c>
    </row>
    <row r="51" spans="2:5" s="22" customFormat="1" ht="12" customHeight="1">
      <c r="B51" s="45" t="s">
        <v>17</v>
      </c>
      <c r="C51" s="45"/>
      <c r="D51" s="45"/>
      <c r="E51" s="33">
        <v>89.8</v>
      </c>
    </row>
    <row r="52" spans="2:5" s="21" customFormat="1" ht="12" customHeight="1">
      <c r="B52" s="45" t="s">
        <v>7</v>
      </c>
      <c r="C52" s="45"/>
      <c r="D52" s="45"/>
      <c r="E52" s="33">
        <f>1800</f>
        <v>1800</v>
      </c>
    </row>
    <row r="53" spans="2:5" s="23" customFormat="1" ht="12" customHeight="1">
      <c r="B53" s="45" t="s">
        <v>38</v>
      </c>
      <c r="C53" s="45"/>
      <c r="D53" s="45"/>
      <c r="E53" s="33">
        <v>1977.85</v>
      </c>
    </row>
    <row r="54" spans="2:5" s="30" customFormat="1" ht="12" customHeight="1">
      <c r="B54" s="45" t="s">
        <v>46</v>
      </c>
      <c r="C54" s="45"/>
      <c r="D54" s="45"/>
      <c r="E54" s="33">
        <f>230+1540.6</f>
        <v>1770.6</v>
      </c>
    </row>
    <row r="55" spans="2:5" s="23" customFormat="1" ht="12" customHeight="1">
      <c r="B55" s="45" t="s">
        <v>48</v>
      </c>
      <c r="C55" s="45"/>
      <c r="D55" s="45"/>
      <c r="E55" s="33">
        <v>667.67</v>
      </c>
    </row>
    <row r="56" spans="2:5" s="29" customFormat="1" ht="12" customHeight="1">
      <c r="B56" s="45" t="s">
        <v>26</v>
      </c>
      <c r="C56" s="46"/>
      <c r="D56" s="46"/>
      <c r="E56" s="33">
        <v>206</v>
      </c>
    </row>
    <row r="57" spans="2:5" s="2" customFormat="1" ht="13.5" customHeight="1">
      <c r="B57" s="45" t="s">
        <v>56</v>
      </c>
      <c r="C57" s="45"/>
      <c r="D57" s="45"/>
      <c r="E57" s="33">
        <f>9225.16</f>
        <v>9225.16</v>
      </c>
    </row>
    <row r="58" spans="2:5" s="10" customFormat="1" ht="12" customHeight="1">
      <c r="B58" s="45" t="s">
        <v>62</v>
      </c>
      <c r="C58" s="46"/>
      <c r="D58" s="46"/>
      <c r="E58" s="33">
        <f>1936*12+1888*40</f>
        <v>98752</v>
      </c>
    </row>
    <row r="59" ht="15">
      <c r="E59" s="4">
        <f>SUM(E5:E58)</f>
        <v>755790.3503384677</v>
      </c>
    </row>
    <row r="60" spans="3:8" ht="12" customHeight="1">
      <c r="C60" s="5" t="s">
        <v>50</v>
      </c>
      <c r="D60" s="59">
        <f>'[3]Лист1'!$B$53</f>
        <v>684338.33</v>
      </c>
      <c r="E60" s="60"/>
      <c r="F60" s="38"/>
      <c r="G60" s="37"/>
      <c r="H60" s="37"/>
    </row>
    <row r="61" spans="3:8" ht="12" customHeight="1">
      <c r="C61" s="5" t="s">
        <v>6</v>
      </c>
      <c r="D61" s="61">
        <f>'[3]Лист1'!$C$53</f>
        <v>667231.7199999999</v>
      </c>
      <c r="E61" s="62"/>
      <c r="F61" s="38"/>
      <c r="G61" s="37"/>
      <c r="H61" s="37"/>
    </row>
    <row r="62" spans="3:8" ht="12" customHeight="1">
      <c r="C62" s="5" t="s">
        <v>49</v>
      </c>
      <c r="D62" s="6"/>
      <c r="E62" s="28">
        <f>E59</f>
        <v>755790.3503384677</v>
      </c>
      <c r="F62" s="39"/>
      <c r="G62" s="37"/>
      <c r="H62" s="37"/>
    </row>
    <row r="63" spans="3:5" ht="12" customHeight="1">
      <c r="C63" s="5"/>
      <c r="D63" s="8"/>
      <c r="E63" s="7"/>
    </row>
  </sheetData>
  <sheetProtection password="CCF3" sheet="1" objects="1" scenarios="1" selectLockedCells="1" selectUnlockedCells="1"/>
  <mergeCells count="61">
    <mergeCell ref="B49:D49"/>
    <mergeCell ref="B55:D55"/>
    <mergeCell ref="B56:D56"/>
    <mergeCell ref="B41:D41"/>
    <mergeCell ref="B52:D52"/>
    <mergeCell ref="B58:D58"/>
    <mergeCell ref="B53:D53"/>
    <mergeCell ref="D60:E60"/>
    <mergeCell ref="D61:E61"/>
    <mergeCell ref="E17:E18"/>
    <mergeCell ref="B19:D19"/>
    <mergeCell ref="B20:D20"/>
    <mergeCell ref="B21:D21"/>
    <mergeCell ref="B29:D29"/>
    <mergeCell ref="B42:D42"/>
    <mergeCell ref="B40:D40"/>
    <mergeCell ref="B8:D8"/>
    <mergeCell ref="B5:D5"/>
    <mergeCell ref="B9:D9"/>
    <mergeCell ref="B23:D23"/>
    <mergeCell ref="B33:D33"/>
    <mergeCell ref="B24:D24"/>
    <mergeCell ref="B30:D30"/>
    <mergeCell ref="B34:D34"/>
    <mergeCell ref="B36:D36"/>
    <mergeCell ref="B31:D31"/>
    <mergeCell ref="B37:D37"/>
    <mergeCell ref="E15:E16"/>
    <mergeCell ref="B17:D18"/>
    <mergeCell ref="B25:D25"/>
    <mergeCell ref="B38:D38"/>
    <mergeCell ref="B45:D45"/>
    <mergeCell ref="B6:D6"/>
    <mergeCell ref="B7:D7"/>
    <mergeCell ref="B3:D3"/>
    <mergeCell ref="B4:E4"/>
    <mergeCell ref="B10:D10"/>
    <mergeCell ref="B11:D11"/>
    <mergeCell ref="B28:D28"/>
    <mergeCell ref="B22:D22"/>
    <mergeCell ref="B27:D27"/>
    <mergeCell ref="A1:G1"/>
    <mergeCell ref="B2:D2"/>
    <mergeCell ref="B39:D39"/>
    <mergeCell ref="B43:D43"/>
    <mergeCell ref="B44:D44"/>
    <mergeCell ref="B51:D51"/>
    <mergeCell ref="B12:D12"/>
    <mergeCell ref="B13:D13"/>
    <mergeCell ref="B14:D14"/>
    <mergeCell ref="B15:D16"/>
    <mergeCell ref="H3:L3"/>
    <mergeCell ref="B35:D35"/>
    <mergeCell ref="B32:D32"/>
    <mergeCell ref="B26:D26"/>
    <mergeCell ref="B57:D57"/>
    <mergeCell ref="B46:D46"/>
    <mergeCell ref="B54:D54"/>
    <mergeCell ref="B50:D50"/>
    <mergeCell ref="B47:D47"/>
    <mergeCell ref="B48:D48"/>
  </mergeCells>
  <printOptions/>
  <pageMargins left="0.35433070866141736" right="0.15748031496062992" top="0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2020-03-24T03:23:04Z</cp:lastPrinted>
  <dcterms:created xsi:type="dcterms:W3CDTF">2018-02-22T04:59:03Z</dcterms:created>
  <dcterms:modified xsi:type="dcterms:W3CDTF">2020-03-27T02:58:15Z</dcterms:modified>
  <cp:category/>
  <cp:version/>
  <cp:contentType/>
  <cp:contentStatus/>
</cp:coreProperties>
</file>