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</externalReferences>
  <definedNames/>
  <calcPr calcMode="autoNoTable" fullCalcOnLoad="1"/>
</workbook>
</file>

<file path=xl/sharedStrings.xml><?xml version="1.0" encoding="utf-8"?>
<sst xmlns="http://schemas.openxmlformats.org/spreadsheetml/2006/main" count="73" uniqueCount="72">
  <si>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</si>
  <si>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</si>
  <si>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</si>
  <si>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</si>
  <si>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</si>
  <si>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</si>
  <si>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</si>
  <si>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</si>
  <si>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Опиловка деревьев</t>
  </si>
  <si>
    <t>Очистка кровли от снега и скалывание сосулек</t>
  </si>
  <si>
    <t>Ремонт детской площадки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</si>
  <si>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</si>
  <si>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</si>
  <si>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</si>
  <si>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</si>
  <si>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</si>
  <si>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</si>
  <si>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</si>
  <si>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Смена внутренних трубопроводов из стальных труб диаметром: до 15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</si>
  <si>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</si>
  <si>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</si>
  <si>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</si>
  <si>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</si>
  <si>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</si>
  <si>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</si>
  <si>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</si>
  <si>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</si>
  <si>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</si>
  <si>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</si>
  <si>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</si>
  <si>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</si>
  <si>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ВОЛГОГРАДСКАЯ, 13 </t>
  </si>
  <si>
    <t>Ремонт отмостки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</si>
  <si>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</si>
  <si>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</si>
  <si>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</si>
  <si>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</si>
  <si>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</si>
  <si>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</si>
  <si>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</si>
  <si>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патронов</t>
  </si>
  <si>
    <t>Смена сборки диаметром 20 мм</t>
  </si>
  <si>
    <t>Замена плавких вставок</t>
  </si>
  <si>
    <t>Ремонт подвальных окон</t>
  </si>
  <si>
    <t>Смена покрытия кровли средней сложности из листовой стали: без настенных желобов и свесов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</si>
  <si>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</si>
  <si>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100 мм</t>
  </si>
  <si>
    <t>Смена задвижек диаметром: 50 мм</t>
  </si>
  <si>
    <t>Прокладка внутренних трубопроводов канализации из полипропилен. труб диаметром: 110 мм</t>
  </si>
  <si>
    <t>Замена светодиодных прожекторов</t>
  </si>
  <si>
    <t>Прокладка кабеля АВВГ 2*2,5</t>
  </si>
  <si>
    <t>Замена распределительной коробки</t>
  </si>
  <si>
    <t>Ремонт перил</t>
  </si>
  <si>
    <t>Изготовление подвальных окон</t>
  </si>
  <si>
    <t>Итого затрачено по дому:</t>
  </si>
  <si>
    <t xml:space="preserve">Начислено по дому: 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</si>
  <si>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</si>
  <si>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</si>
  <si>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</si>
  <si>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</si>
  <si>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</si>
  <si>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</si>
  <si>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Замена фотореле</t>
  </si>
  <si>
    <t>Замена датчиков движения</t>
  </si>
  <si>
    <t xml:space="preserve">Замена регистра </t>
  </si>
  <si>
    <t>Замена автоматических выключателей</t>
  </si>
  <si>
    <t>Ремонт м/п швов кв.21</t>
  </si>
  <si>
    <t>Утепление м/п швов кв.21,68</t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</si>
  <si>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</si>
  <si>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 xml:space="preserve">Замена светильников
</t>
  </si>
  <si>
    <t>Монтаж прожекторов светодиодных</t>
  </si>
  <si>
    <t>Устранение засоров внутренних канализационных трубопроводов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</si>
</sst>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12" xfId="39" applyNumberFormat="1" applyBorder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39" fillId="0" borderId="0" xfId="0" applyFont="1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0" fillId="0" borderId="13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horizontal="center" wrapText="1"/>
    </xf>
    <xf numFmtId="0" fontId="29" fillId="21" borderId="13" xfId="41" applyBorder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2" fontId="30" fillId="0" borderId="14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0" fontId="30" fillId="0" borderId="13" xfId="42" applyNumberFormat="1" applyFont="1" applyFill="1" applyBorder="1" applyAlignment="1" quotePrefix="1">
      <alignment horizontal="right" vertical="center" wrapText="1"/>
      <protection/>
    </xf>
    <xf numFmtId="2" fontId="30" fillId="0" borderId="13" xfId="42" applyNumberFormat="1" applyFont="1" applyFill="1" applyBorder="1" applyAlignment="1" quotePrefix="1">
      <alignment horizontal="right" vertical="center" wrapText="1"/>
      <protection/>
    </xf>
    <xf numFmtId="43" fontId="30" fillId="0" borderId="13" xfId="42" applyNumberFormat="1" applyFont="1" applyFill="1" applyBorder="1" applyAlignment="1" quotePrefix="1">
      <alignment horizontal="right" vertical="center" wrapText="1"/>
      <protection/>
    </xf>
    <xf numFmtId="4" fontId="52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171" fontId="50" fillId="0" borderId="12" xfId="76" applyFont="1" applyBorder="1" applyAlignment="1">
      <alignment horizontal="right" vertical="center" wrapText="1"/>
    </xf>
    <xf numFmtId="0" fontId="30" fillId="0" borderId="13" xfId="43" applyFont="1" applyFill="1" applyBorder="1" applyAlignment="1" quotePrefix="1">
      <alignment horizontal="left" vertical="top" wrapText="1"/>
      <protection/>
    </xf>
    <xf numFmtId="0" fontId="30" fillId="0" borderId="15" xfId="43" applyFont="1" applyFill="1" applyBorder="1" applyAlignment="1" quotePrefix="1">
      <alignment horizontal="left" vertical="top" wrapText="1"/>
      <protection/>
    </xf>
    <xf numFmtId="0" fontId="30" fillId="0" borderId="16" xfId="43" applyFont="1" applyFill="1" applyBorder="1" applyAlignment="1" quotePrefix="1">
      <alignment horizontal="left" vertical="top" wrapText="1"/>
      <protection/>
    </xf>
    <xf numFmtId="0" fontId="30" fillId="0" borderId="17" xfId="43" applyFont="1" applyFill="1" applyBorder="1" applyAlignment="1" quotePrefix="1">
      <alignment horizontal="left" vertical="top" wrapText="1"/>
      <protection/>
    </xf>
    <xf numFmtId="0" fontId="0" fillId="0" borderId="13" xfId="0" applyFont="1" applyFill="1" applyBorder="1" applyAlignment="1">
      <alignment wrapText="1"/>
    </xf>
    <xf numFmtId="0" fontId="29" fillId="21" borderId="18" xfId="41" applyBorder="1" applyAlignment="1" quotePrefix="1">
      <alignment horizontal="center" vertical="center" wrapText="1"/>
      <protection/>
    </xf>
    <xf numFmtId="0" fontId="29" fillId="21" borderId="19" xfId="41" applyBorder="1" applyAlignment="1" quotePrefix="1">
      <alignment horizontal="center" vertical="center" wrapText="1"/>
      <protection/>
    </xf>
    <xf numFmtId="0" fontId="30" fillId="0" borderId="13" xfId="43" applyBorder="1" applyAlignment="1" quotePrefix="1">
      <alignment horizontal="left" vertical="top" wrapText="1"/>
      <protection/>
    </xf>
    <xf numFmtId="0" fontId="30" fillId="0" borderId="13" xfId="37" applyFont="1" applyFill="1" applyBorder="1" applyAlignment="1" quotePrefix="1">
      <alignment horizontal="left" vertical="top" wrapText="1"/>
      <protection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29" fillId="0" borderId="20" xfId="47" applyNumberFormat="1" applyBorder="1" applyAlignment="1" quotePrefix="1">
      <alignment horizontal="right" vertical="top" wrapText="1"/>
      <protection/>
    </xf>
    <xf numFmtId="0" fontId="0" fillId="0" borderId="20" xfId="0" applyBorder="1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13" xfId="37" applyBorder="1" applyAlignment="1" quotePrefix="1">
      <alignment horizontal="left" vertical="top" wrapText="1"/>
      <protection/>
    </xf>
    <xf numFmtId="0" fontId="29" fillId="20" borderId="18" xfId="40" applyFont="1" applyBorder="1" applyAlignment="1" quotePrefix="1">
      <alignment horizontal="left" vertical="center" wrapText="1"/>
      <protection/>
    </xf>
    <xf numFmtId="0" fontId="39" fillId="0" borderId="19" xfId="0" applyFont="1" applyBorder="1" applyAlignment="1">
      <alignment wrapText="1"/>
    </xf>
    <xf numFmtId="0" fontId="30" fillId="0" borderId="21" xfId="43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28" fillId="0" borderId="0" xfId="33" applyAlignment="1" quotePrefix="1">
      <alignment horizontal="center" vertical="center" wrapText="1"/>
      <protection/>
    </xf>
    <xf numFmtId="0" fontId="0" fillId="36" borderId="13" xfId="0" applyFill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51">
          <cell r="J251">
            <v>5019.891178155766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434">
          <cell r="J434">
            <v>612.3639222642756</v>
          </cell>
        </row>
        <row r="454">
          <cell r="J454">
            <v>863.9268878891185</v>
          </cell>
        </row>
        <row r="484">
          <cell r="J484">
            <v>1304.1603838424317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43">
          <cell r="J643">
            <v>10053.132298840512</v>
          </cell>
        </row>
        <row r="677">
          <cell r="J677">
            <v>786.6130943054591</v>
          </cell>
        </row>
        <row r="688">
          <cell r="J688">
            <v>976.781174305459</v>
          </cell>
        </row>
        <row r="699">
          <cell r="J699">
            <v>1392.239787079781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333">
          <cell r="J333">
            <v>955.6761932821831</v>
          </cell>
        </row>
        <row r="940">
          <cell r="J940">
            <v>546.9912167362124</v>
          </cell>
        </row>
        <row r="988">
          <cell r="J988">
            <v>752.970178486447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9">
          <cell r="B19">
            <v>689006.8599999998</v>
          </cell>
          <cell r="C19">
            <v>674487.3900000001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110" zoomScaleNormal="110" zoomScalePageLayoutView="0" workbookViewId="0" topLeftCell="A1">
      <selection activeCell="E58" sqref="E58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7109375" style="1" customWidth="1"/>
    <col min="4" max="4" width="9.7109375" style="1" customWidth="1"/>
    <col min="5" max="5" width="12.57421875" style="9" customWidth="1"/>
    <col min="6" max="6" width="16.00390625" style="1" customWidth="1"/>
    <col min="7" max="7" width="6.140625" style="1" customWidth="1"/>
    <col min="8" max="8" width="11.421875" style="1" bestFit="1" customWidth="1"/>
    <col min="9" max="9" width="12.57421875" style="1" bestFit="1" customWidth="1"/>
    <col min="10" max="16384" width="9.140625" style="1" customWidth="1"/>
  </cols>
  <sheetData>
    <row r="1" spans="1:5" s="27" customFormat="1" ht="24" customHeight="1">
      <c r="A1" s="70" t="s">
        <v>45</v>
      </c>
      <c r="B1" s="70"/>
      <c r="C1" s="70"/>
      <c r="D1" s="70"/>
      <c r="E1" s="70"/>
    </row>
    <row r="2" spans="2:5" s="4" customFormat="1" ht="12" customHeight="1">
      <c r="B2" s="3" t="s">
        <v>0</v>
      </c>
      <c r="E2" s="9"/>
    </row>
    <row r="3" spans="2:12" ht="21" customHeight="1">
      <c r="B3" s="56" t="s">
        <v>1</v>
      </c>
      <c r="C3" s="57"/>
      <c r="D3" s="57"/>
      <c r="E3" s="33" t="s">
        <v>60</v>
      </c>
      <c r="H3" s="71" t="s">
        <v>56</v>
      </c>
      <c r="I3" s="71"/>
      <c r="J3" s="71"/>
      <c r="K3" s="71"/>
      <c r="L3" s="71"/>
    </row>
    <row r="4" spans="2:12" ht="15" customHeight="1" thickBot="1">
      <c r="B4" s="66" t="s">
        <v>31</v>
      </c>
      <c r="C4" s="67"/>
      <c r="D4" s="67"/>
      <c r="E4" s="67"/>
      <c r="H4" s="32" t="s">
        <v>21</v>
      </c>
      <c r="I4" s="32" t="s">
        <v>57</v>
      </c>
      <c r="J4" s="32" t="s">
        <v>39</v>
      </c>
      <c r="K4" s="32" t="s">
        <v>58</v>
      </c>
      <c r="L4" s="32" t="s">
        <v>59</v>
      </c>
    </row>
    <row r="5" spans="2:12" ht="12" customHeight="1" hidden="1" thickBot="1">
      <c r="B5" s="68" t="s">
        <v>20</v>
      </c>
      <c r="C5" s="69"/>
      <c r="D5" s="69"/>
      <c r="E5" s="37"/>
      <c r="H5" s="5" t="s">
        <v>21</v>
      </c>
      <c r="I5" s="5" t="s">
        <v>22</v>
      </c>
      <c r="J5" s="5" t="s">
        <v>23</v>
      </c>
      <c r="K5" s="5" t="s">
        <v>24</v>
      </c>
      <c r="L5" s="6" t="s">
        <v>25</v>
      </c>
    </row>
    <row r="6" spans="2:12" ht="25.5" customHeight="1" thickBot="1">
      <c r="B6" s="58" t="s">
        <v>33</v>
      </c>
      <c r="C6" s="58"/>
      <c r="D6" s="58"/>
      <c r="E6" s="36">
        <f>2.05*J6*12+J6*2*2.05+2.05*4*J6*2</f>
        <v>39726.786</v>
      </c>
      <c r="H6" s="7">
        <v>80</v>
      </c>
      <c r="I6" s="7">
        <v>3554.9</v>
      </c>
      <c r="J6" s="7">
        <v>880.86</v>
      </c>
      <c r="K6" s="7">
        <f>J6</f>
        <v>880.86</v>
      </c>
      <c r="L6" s="8">
        <v>56</v>
      </c>
    </row>
    <row r="7" spans="2:5" ht="36" customHeight="1">
      <c r="B7" s="58" t="s">
        <v>26</v>
      </c>
      <c r="C7" s="58"/>
      <c r="D7" s="58"/>
      <c r="E7" s="36">
        <f>(I6*2.05*2)</f>
        <v>14575.089999999998</v>
      </c>
    </row>
    <row r="8" spans="2:5" ht="12" customHeight="1">
      <c r="B8" s="58" t="s">
        <v>27</v>
      </c>
      <c r="C8" s="58"/>
      <c r="D8" s="58"/>
      <c r="E8" s="36">
        <f>I6*2.05*2</f>
        <v>14575.089999999998</v>
      </c>
    </row>
    <row r="9" spans="2:5" ht="12" customHeight="1" hidden="1">
      <c r="B9" s="58" t="s">
        <v>28</v>
      </c>
      <c r="C9" s="58"/>
      <c r="D9" s="58"/>
      <c r="E9" s="36"/>
    </row>
    <row r="10" spans="2:5" ht="24.75" customHeight="1">
      <c r="B10" s="58" t="s">
        <v>29</v>
      </c>
      <c r="C10" s="58"/>
      <c r="D10" s="58"/>
      <c r="E10" s="36">
        <f>(3*121.53*2*I6/1000)*3</f>
        <v>7776.485946000002</v>
      </c>
    </row>
    <row r="11" spans="2:5" ht="12" customHeight="1">
      <c r="B11" s="58" t="s">
        <v>11</v>
      </c>
      <c r="C11" s="58"/>
      <c r="D11" s="58"/>
      <c r="E11" s="36">
        <f>12*I6*0.83</f>
        <v>35406.804000000004</v>
      </c>
    </row>
    <row r="12" spans="2:5" ht="12" customHeight="1">
      <c r="B12" s="58" t="s">
        <v>13</v>
      </c>
      <c r="C12" s="58"/>
      <c r="D12" s="58"/>
      <c r="E12" s="36">
        <f>12*I6*6.05</f>
        <v>258085.74000000002</v>
      </c>
    </row>
    <row r="13" spans="2:5" ht="12" customHeight="1">
      <c r="B13" s="58" t="s">
        <v>14</v>
      </c>
      <c r="C13" s="58"/>
      <c r="D13" s="58"/>
      <c r="E13" s="36">
        <f>1*L6*286.7*2</f>
        <v>32110.399999999998</v>
      </c>
    </row>
    <row r="14" spans="2:5" ht="12" customHeight="1">
      <c r="B14" s="58" t="s">
        <v>12</v>
      </c>
      <c r="C14" s="58"/>
      <c r="D14" s="58"/>
      <c r="E14" s="36">
        <f>12*I6*0.54</f>
        <v>23035.752000000004</v>
      </c>
    </row>
    <row r="15" spans="2:5" ht="12" customHeight="1">
      <c r="B15" s="65" t="s">
        <v>16</v>
      </c>
      <c r="C15" s="65"/>
      <c r="D15" s="65"/>
      <c r="E15" s="36">
        <v>10000</v>
      </c>
    </row>
    <row r="16" spans="2:5" ht="6" customHeight="1">
      <c r="B16" s="58" t="s">
        <v>15</v>
      </c>
      <c r="C16" s="58"/>
      <c r="D16" s="58"/>
      <c r="E16" s="64">
        <f>12*I6*0.64</f>
        <v>27301.632</v>
      </c>
    </row>
    <row r="17" spans="2:5" ht="6" customHeight="1">
      <c r="B17" s="58"/>
      <c r="C17" s="58"/>
      <c r="D17" s="58"/>
      <c r="E17" s="64"/>
    </row>
    <row r="18" spans="2:5" ht="6" customHeight="1">
      <c r="B18" s="58" t="s">
        <v>30</v>
      </c>
      <c r="C18" s="58"/>
      <c r="D18" s="58"/>
      <c r="E18" s="64">
        <f>12*I6*1.75</f>
        <v>74652.90000000001</v>
      </c>
    </row>
    <row r="19" spans="2:5" ht="6" customHeight="1">
      <c r="B19" s="58"/>
      <c r="C19" s="58"/>
      <c r="D19" s="58"/>
      <c r="E19" s="64"/>
    </row>
    <row r="20" spans="2:5" ht="12" customHeight="1">
      <c r="B20" s="58" t="s">
        <v>34</v>
      </c>
      <c r="C20" s="58"/>
      <c r="D20" s="58"/>
      <c r="E20" s="36">
        <f>12*I6*0.37</f>
        <v>15783.756000000001</v>
      </c>
    </row>
    <row r="21" spans="2:5" ht="12" customHeight="1">
      <c r="B21" s="58" t="s">
        <v>35</v>
      </c>
      <c r="C21" s="58"/>
      <c r="D21" s="58"/>
      <c r="E21" s="36">
        <f>H6*2*70%*2*137.35*0.38</f>
        <v>11691.232</v>
      </c>
    </row>
    <row r="22" spans="2:5" ht="12" customHeight="1">
      <c r="B22" s="58" t="s">
        <v>36</v>
      </c>
      <c r="C22" s="58"/>
      <c r="D22" s="58"/>
      <c r="E22" s="36">
        <f>H6*70%*2*137.35*0.38</f>
        <v>5845.616</v>
      </c>
    </row>
    <row r="23" spans="2:5" ht="12" customHeight="1">
      <c r="B23" s="58" t="s">
        <v>37</v>
      </c>
      <c r="C23" s="58"/>
      <c r="D23" s="58"/>
      <c r="E23" s="25">
        <f>68.68*18</f>
        <v>1236.2400000000002</v>
      </c>
    </row>
    <row r="24" spans="2:5" ht="12" customHeight="1">
      <c r="B24" s="58" t="s">
        <v>3</v>
      </c>
      <c r="C24" s="58"/>
      <c r="D24" s="58"/>
      <c r="E24" s="25">
        <f>68.68*24</f>
        <v>1648.3200000000002</v>
      </c>
    </row>
    <row r="25" spans="2:5" ht="12" customHeight="1">
      <c r="B25" s="58" t="s">
        <v>38</v>
      </c>
      <c r="C25" s="58"/>
      <c r="D25" s="58"/>
      <c r="E25" s="25">
        <f>68.68*27</f>
        <v>1854.3600000000001</v>
      </c>
    </row>
    <row r="26" spans="2:5" s="26" customFormat="1" ht="12" customHeight="1">
      <c r="B26" s="51" t="s">
        <v>51</v>
      </c>
      <c r="C26" s="51"/>
      <c r="D26" s="51"/>
      <c r="E26" s="41">
        <f>112.6*2</f>
        <v>225.2</v>
      </c>
    </row>
    <row r="27" spans="2:5" s="24" customFormat="1" ht="12" customHeight="1">
      <c r="B27" s="51" t="s">
        <v>69</v>
      </c>
      <c r="C27" s="51"/>
      <c r="D27" s="51"/>
      <c r="E27" s="43">
        <f>'[2]на июль 15г'!$J$988*18</f>
        <v>13553.463212756047</v>
      </c>
    </row>
    <row r="28" spans="2:5" s="23" customFormat="1" ht="12" customHeight="1">
      <c r="B28" s="51" t="s">
        <v>42</v>
      </c>
      <c r="C28" s="51"/>
      <c r="D28" s="51"/>
      <c r="E28" s="43">
        <f>'[2]на июль 15г'!$J$333*1</f>
        <v>955.6761932821831</v>
      </c>
    </row>
    <row r="29" spans="2:9" s="23" customFormat="1" ht="12" customHeight="1">
      <c r="B29" s="51" t="s">
        <v>65</v>
      </c>
      <c r="C29" s="51"/>
      <c r="D29" s="51"/>
      <c r="E29" s="43">
        <f>2*'[2]на июль 15г'!$J$940</f>
        <v>1093.9824334724249</v>
      </c>
      <c r="I29" s="18"/>
    </row>
    <row r="30" spans="2:5" s="22" customFormat="1" ht="12" customHeight="1">
      <c r="B30" s="51" t="s">
        <v>49</v>
      </c>
      <c r="C30" s="51"/>
      <c r="D30" s="51"/>
      <c r="E30" s="43">
        <f>2*'[1]на июль 15г'!$J$238</f>
        <v>10208.20409270605</v>
      </c>
    </row>
    <row r="31" spans="2:13" s="48" customFormat="1" ht="12" customHeight="1">
      <c r="B31" s="51" t="s">
        <v>70</v>
      </c>
      <c r="C31" s="51"/>
      <c r="D31" s="51"/>
      <c r="E31" s="43">
        <f>1*'[1]на июль 15г'!$J$251</f>
        <v>5019.891178155766</v>
      </c>
      <c r="F31" s="47"/>
      <c r="G31" s="47"/>
      <c r="H31" s="47"/>
      <c r="I31" s="47"/>
      <c r="J31" s="47"/>
      <c r="K31" s="47"/>
      <c r="L31" s="47"/>
      <c r="M31" s="47"/>
    </row>
    <row r="32" spans="2:5" s="23" customFormat="1" ht="15">
      <c r="B32" s="51" t="s">
        <v>50</v>
      </c>
      <c r="C32" s="51"/>
      <c r="D32" s="51"/>
      <c r="E32" s="43">
        <f>30*'[1]на июль 15г'!$J$198</f>
        <v>4935.241327425489</v>
      </c>
    </row>
    <row r="33" spans="2:5" s="47" customFormat="1" ht="12" customHeight="1">
      <c r="B33" s="51" t="s">
        <v>62</v>
      </c>
      <c r="C33" s="51"/>
      <c r="D33" s="51"/>
      <c r="E33" s="43">
        <f>3*'[1]на июль 15г'!$J$277</f>
        <v>2506.5003622086374</v>
      </c>
    </row>
    <row r="34" spans="2:5" s="23" customFormat="1" ht="12" customHeight="1">
      <c r="B34" s="51" t="s">
        <v>63</v>
      </c>
      <c r="C34" s="51"/>
      <c r="D34" s="51"/>
      <c r="E34" s="43">
        <f>2*'[1]на июль 15г'!$J$277</f>
        <v>1671.000241472425</v>
      </c>
    </row>
    <row r="35" spans="2:5" s="49" customFormat="1" ht="12" customHeight="1">
      <c r="B35" s="51" t="s">
        <v>40</v>
      </c>
      <c r="C35" s="51"/>
      <c r="D35" s="51"/>
      <c r="E35" s="43">
        <f>2*'[1]на июль 15г'!$J$323</f>
        <v>199.95098965020944</v>
      </c>
    </row>
    <row r="36" spans="2:5" s="23" customFormat="1" ht="14.25" customHeight="1">
      <c r="B36" s="51" t="s">
        <v>68</v>
      </c>
      <c r="C36" s="51"/>
      <c r="D36" s="51"/>
      <c r="E36" s="42">
        <f>16*'[1]на июль 15г'!$J$198</f>
        <v>2632.1287079602607</v>
      </c>
    </row>
    <row r="37" spans="2:5" s="19" customFormat="1" ht="15" customHeight="1">
      <c r="B37" s="51" t="s">
        <v>6</v>
      </c>
      <c r="C37" s="51"/>
      <c r="D37" s="51"/>
      <c r="E37" s="42">
        <f>36*'[1]на июль 15г'!$J$211</f>
        <v>2073.9611350675027</v>
      </c>
    </row>
    <row r="38" spans="2:5" s="49" customFormat="1" ht="15" customHeight="1">
      <c r="B38" s="51" t="s">
        <v>61</v>
      </c>
      <c r="C38" s="51"/>
      <c r="D38" s="51"/>
      <c r="E38" s="42">
        <f>35*'[1]на июль 15г'!$J$211</f>
        <v>2016.3511035378497</v>
      </c>
    </row>
    <row r="39" spans="2:5" s="19" customFormat="1" ht="12" customHeight="1">
      <c r="B39" s="51" t="s">
        <v>5</v>
      </c>
      <c r="C39" s="51"/>
      <c r="D39" s="51"/>
      <c r="E39" s="43">
        <f>3*'[1]на июль 15г'!$J$264</f>
        <v>212.6829652871575</v>
      </c>
    </row>
    <row r="40" spans="2:7" s="38" customFormat="1" ht="12" customHeight="1">
      <c r="B40" s="59" t="s">
        <v>18</v>
      </c>
      <c r="C40" s="59"/>
      <c r="D40" s="59"/>
      <c r="E40" s="43">
        <f>2*'[1]на июль 15г'!$J$434</f>
        <v>1224.7278445285513</v>
      </c>
      <c r="F40" s="40"/>
      <c r="G40" s="40"/>
    </row>
    <row r="41" spans="2:5" s="15" customFormat="1" ht="12" customHeight="1">
      <c r="B41" s="59" t="s">
        <v>4</v>
      </c>
      <c r="C41" s="59"/>
      <c r="D41" s="59"/>
      <c r="E41" s="43">
        <f>2*'[1]на июль 15г'!$J$454</f>
        <v>1727.853775778237</v>
      </c>
    </row>
    <row r="42" spans="2:5" s="15" customFormat="1" ht="12" customHeight="1">
      <c r="B42" s="59" t="s">
        <v>17</v>
      </c>
      <c r="C42" s="59"/>
      <c r="D42" s="59"/>
      <c r="E42" s="43">
        <f>20*'[1]на июль 15г'!$J$484</f>
        <v>26083.207676848633</v>
      </c>
    </row>
    <row r="43" spans="2:5" s="38" customFormat="1" ht="12" customHeight="1">
      <c r="B43" s="51" t="s">
        <v>41</v>
      </c>
      <c r="C43" s="55"/>
      <c r="D43" s="55"/>
      <c r="E43" s="43">
        <f>3*('[1]на июль 15г'!$J$677+'[1]на июль 15г'!$J$688)</f>
        <v>5290.182805832754</v>
      </c>
    </row>
    <row r="44" spans="2:11" s="15" customFormat="1" ht="12" customHeight="1">
      <c r="B44" s="51" t="s">
        <v>19</v>
      </c>
      <c r="C44" s="51"/>
      <c r="D44" s="51"/>
      <c r="E44" s="43">
        <f>2*('[1]на июль 15г'!$J$677+'[1]на июль 15г'!$J$699)</f>
        <v>4357.70576277048</v>
      </c>
      <c r="F44" s="20"/>
      <c r="G44" s="40"/>
      <c r="H44" s="40"/>
      <c r="I44" s="40"/>
      <c r="J44" s="40"/>
      <c r="K44" s="40"/>
    </row>
    <row r="45" spans="2:11" s="39" customFormat="1" ht="12" customHeight="1">
      <c r="B45" s="51" t="s">
        <v>47</v>
      </c>
      <c r="C45" s="51"/>
      <c r="D45" s="51"/>
      <c r="E45" s="43">
        <f>2*'[1]на июль 15г'!$J$643</f>
        <v>20106.264597681024</v>
      </c>
      <c r="F45" s="40"/>
      <c r="G45" s="40"/>
      <c r="H45" s="40"/>
      <c r="I45" s="40"/>
      <c r="J45" s="40"/>
      <c r="K45" s="40"/>
    </row>
    <row r="46" spans="2:11" s="16" customFormat="1" ht="12" customHeight="1">
      <c r="B46" s="51" t="s">
        <v>2</v>
      </c>
      <c r="C46" s="51"/>
      <c r="D46" s="51"/>
      <c r="E46" s="43">
        <f>'[1]на июль 15г'!$J$915</f>
        <v>467.02159089779934</v>
      </c>
      <c r="F46" s="40"/>
      <c r="G46" s="40"/>
      <c r="H46" s="40"/>
      <c r="I46" s="40"/>
      <c r="J46" s="40"/>
      <c r="K46" s="40"/>
    </row>
    <row r="47" spans="2:7" s="21" customFormat="1" ht="12" customHeight="1">
      <c r="B47" s="51" t="s">
        <v>67</v>
      </c>
      <c r="C47" s="51"/>
      <c r="D47" s="51"/>
      <c r="E47" s="43">
        <v>15050.34</v>
      </c>
      <c r="F47" s="40"/>
      <c r="G47" s="40"/>
    </row>
    <row r="48" spans="2:7" s="15" customFormat="1" ht="12" customHeight="1">
      <c r="B48" s="51" t="s">
        <v>66</v>
      </c>
      <c r="C48" s="55"/>
      <c r="D48" s="55"/>
      <c r="E48" s="41">
        <f>1888*6</f>
        <v>11328</v>
      </c>
      <c r="F48" s="40"/>
      <c r="G48" s="40"/>
    </row>
    <row r="49" spans="2:7" s="17" customFormat="1" ht="14.25" customHeight="1">
      <c r="B49" s="51" t="s">
        <v>48</v>
      </c>
      <c r="C49" s="51"/>
      <c r="D49" s="51"/>
      <c r="E49" s="43">
        <f>5.5*'[1]на июль 15г'!$J$565</f>
        <v>2797.217578840511</v>
      </c>
      <c r="F49" s="20"/>
      <c r="G49" s="40"/>
    </row>
    <row r="50" spans="2:7" s="17" customFormat="1" ht="12" customHeight="1">
      <c r="B50" s="51" t="s">
        <v>46</v>
      </c>
      <c r="C50" s="51"/>
      <c r="D50" s="51"/>
      <c r="E50" s="43">
        <f>5.5*'[1]на июль 15г'!$J$535</f>
        <v>2181.9572714543465</v>
      </c>
      <c r="F50" s="20"/>
      <c r="G50" s="40"/>
    </row>
    <row r="51" spans="2:7" s="13" customFormat="1" ht="12" customHeight="1">
      <c r="B51" s="51" t="s">
        <v>64</v>
      </c>
      <c r="C51" s="51"/>
      <c r="D51" s="51"/>
      <c r="E51" s="41">
        <f>2000</f>
        <v>2000</v>
      </c>
      <c r="F51" s="20"/>
      <c r="G51" s="20"/>
    </row>
    <row r="52" spans="2:5" s="45" customFormat="1" ht="12.75" customHeight="1">
      <c r="B52" s="52" t="s">
        <v>9</v>
      </c>
      <c r="C52" s="53"/>
      <c r="D52" s="54"/>
      <c r="E52" s="41">
        <f>2201.44+550.57+3000</f>
        <v>5752.01</v>
      </c>
    </row>
    <row r="53" spans="2:5" s="28" customFormat="1" ht="12" customHeight="1">
      <c r="B53" s="51" t="s">
        <v>10</v>
      </c>
      <c r="C53" s="55"/>
      <c r="D53" s="55"/>
      <c r="E53" s="41">
        <v>735.57</v>
      </c>
    </row>
    <row r="54" spans="2:5" s="29" customFormat="1" ht="12" customHeight="1">
      <c r="B54" s="51" t="s">
        <v>53</v>
      </c>
      <c r="C54" s="51"/>
      <c r="D54" s="51"/>
      <c r="E54" s="41">
        <v>2394.72</v>
      </c>
    </row>
    <row r="55" spans="2:5" s="35" customFormat="1" ht="14.25" customHeight="1">
      <c r="B55" s="51" t="s">
        <v>43</v>
      </c>
      <c r="C55" s="51"/>
      <c r="D55" s="51"/>
      <c r="E55" s="41">
        <v>397.5</v>
      </c>
    </row>
    <row r="56" spans="2:5" s="34" customFormat="1" ht="12" customHeight="1">
      <c r="B56" s="51" t="s">
        <v>52</v>
      </c>
      <c r="C56" s="51"/>
      <c r="D56" s="51"/>
      <c r="E56" s="41">
        <v>188</v>
      </c>
    </row>
    <row r="57" spans="2:5" s="30" customFormat="1" ht="12" customHeight="1">
      <c r="B57" s="51" t="s">
        <v>32</v>
      </c>
      <c r="C57" s="51"/>
      <c r="D57" s="51"/>
      <c r="E57" s="41">
        <v>1450.45</v>
      </c>
    </row>
    <row r="58" spans="2:5" s="46" customFormat="1" ht="12" customHeight="1">
      <c r="B58" s="51" t="s">
        <v>71</v>
      </c>
      <c r="C58" s="51"/>
      <c r="D58" s="51"/>
      <c r="E58" s="42">
        <f>223.42*9</f>
        <v>2010.78</v>
      </c>
    </row>
    <row r="59" spans="2:5" s="31" customFormat="1" ht="14.25" customHeight="1">
      <c r="B59" s="51" t="s">
        <v>44</v>
      </c>
      <c r="C59" s="51"/>
      <c r="D59" s="51"/>
      <c r="E59" s="44">
        <f>4523.1+6228.7</f>
        <v>10751.8</v>
      </c>
    </row>
    <row r="60" spans="2:5" s="35" customFormat="1" ht="12" customHeight="1">
      <c r="B60" s="51" t="s">
        <v>8</v>
      </c>
      <c r="C60" s="51"/>
      <c r="D60" s="51"/>
      <c r="E60" s="41">
        <v>1800</v>
      </c>
    </row>
    <row r="61" spans="2:5" s="4" customFormat="1" ht="12" customHeight="1">
      <c r="B61" s="10"/>
      <c r="C61" s="10"/>
      <c r="D61" s="10"/>
      <c r="E61" s="12">
        <f>SUM(E5:E60)</f>
        <v>740705.7467936142</v>
      </c>
    </row>
    <row r="62" spans="3:5" ht="12" customHeight="1">
      <c r="C62" s="14" t="s">
        <v>55</v>
      </c>
      <c r="D62" s="62">
        <f>'[3]Лист1'!$B$19</f>
        <v>689006.8599999998</v>
      </c>
      <c r="E62" s="63"/>
    </row>
    <row r="63" spans="3:5" ht="12" customHeight="1">
      <c r="C63" s="2" t="s">
        <v>7</v>
      </c>
      <c r="D63" s="60">
        <f>'[3]Лист1'!$C$19</f>
        <v>674487.3900000001</v>
      </c>
      <c r="E63" s="61"/>
    </row>
    <row r="64" spans="3:5" ht="12" customHeight="1">
      <c r="C64" s="14" t="s">
        <v>54</v>
      </c>
      <c r="D64" s="11"/>
      <c r="E64" s="50">
        <f>E61</f>
        <v>740705.7467936142</v>
      </c>
    </row>
  </sheetData>
  <sheetProtection password="CCF3" sheet="1" objects="1" scenarios="1" selectLockedCells="1" selectUnlockedCells="1"/>
  <mergeCells count="62">
    <mergeCell ref="B31:D31"/>
    <mergeCell ref="B32:D32"/>
    <mergeCell ref="H3:L3"/>
    <mergeCell ref="B60:D60"/>
    <mergeCell ref="B59:D59"/>
    <mergeCell ref="B29:D29"/>
    <mergeCell ref="B28:D28"/>
    <mergeCell ref="B30:D30"/>
    <mergeCell ref="B34:D34"/>
    <mergeCell ref="B57:D57"/>
    <mergeCell ref="B55:D55"/>
    <mergeCell ref="B18:D19"/>
    <mergeCell ref="B6:D6"/>
    <mergeCell ref="B20:D20"/>
    <mergeCell ref="B16:D17"/>
    <mergeCell ref="B11:D11"/>
    <mergeCell ref="B36:D36"/>
    <mergeCell ref="B38:D38"/>
    <mergeCell ref="B7:D7"/>
    <mergeCell ref="B25:D25"/>
    <mergeCell ref="B35:D35"/>
    <mergeCell ref="B26:D26"/>
    <mergeCell ref="E18:E19"/>
    <mergeCell ref="B14:D14"/>
    <mergeCell ref="B15:D15"/>
    <mergeCell ref="B4:E4"/>
    <mergeCell ref="B5:D5"/>
    <mergeCell ref="A1:E1"/>
    <mergeCell ref="B9:D9"/>
    <mergeCell ref="B10:D10"/>
    <mergeCell ref="E16:E17"/>
    <mergeCell ref="B13:D13"/>
    <mergeCell ref="B21:D21"/>
    <mergeCell ref="D63:E63"/>
    <mergeCell ref="D62:E62"/>
    <mergeCell ref="B51:D51"/>
    <mergeCell ref="B56:D56"/>
    <mergeCell ref="B44:D44"/>
    <mergeCell ref="B48:D48"/>
    <mergeCell ref="B39:D39"/>
    <mergeCell ref="B40:D40"/>
    <mergeCell ref="B50:D50"/>
    <mergeCell ref="B3:D3"/>
    <mergeCell ref="B47:D47"/>
    <mergeCell ref="B54:D54"/>
    <mergeCell ref="B24:D24"/>
    <mergeCell ref="B12:D12"/>
    <mergeCell ref="B8:D8"/>
    <mergeCell ref="B41:D41"/>
    <mergeCell ref="B42:D42"/>
    <mergeCell ref="B22:D22"/>
    <mergeCell ref="B23:D23"/>
    <mergeCell ref="B58:D58"/>
    <mergeCell ref="B52:D52"/>
    <mergeCell ref="B27:D27"/>
    <mergeCell ref="B46:D46"/>
    <mergeCell ref="B53:D53"/>
    <mergeCell ref="B37:D37"/>
    <mergeCell ref="B49:D49"/>
    <mergeCell ref="B45:D45"/>
    <mergeCell ref="B43:D43"/>
    <mergeCell ref="B33:D33"/>
  </mergeCells>
  <printOptions/>
  <pageMargins left="0.35433070866141736" right="0.15748031496062992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2020-03-24T02:18:04Z</cp:lastPrinted>
  <dcterms:created xsi:type="dcterms:W3CDTF">2018-02-22T04:59:03Z</dcterms:created>
  <dcterms:modified xsi:type="dcterms:W3CDTF">2020-03-27T02:42:49Z</dcterms:modified>
  <cp:category/>
  <cp:version/>
  <cp:contentType/>
  <cp:contentStatus/>
</cp:coreProperties>
</file>