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<sst xmlns="http://schemas.openxmlformats.org/spreadsheetml/2006/main" count="47" uniqueCount="47">
  <si>
    <t>Сгруппированный по операциям</t>
  </si>
  <si>
    <t>Список операций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</si>
  <si>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</si>
  <si>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</si>
  <si>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</si>
  <si>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</si>
  <si>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</si>
  <si>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</si>
  <si>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</si>
  <si>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</si>
  <si>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</si>
  <si>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</si>
  <si>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</si>
  <si>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</si>
  <si>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</si>
  <si>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Ремонт лавочек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</si>
  <si>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</si>
  <si>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</si>
  <si>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</si>
  <si>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</si>
  <si>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</si>
  <si>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</si>
  <si>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</si>
  <si>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</si>
  <si>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</si>
  <si>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</si>
  <si>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подвал</t>
  </si>
  <si>
    <t>Адрес дома: ЛЕНИНА ПР., 81а</t>
  </si>
  <si>
    <t>Смена патронов</t>
  </si>
  <si>
    <t>Начислено по дому:</t>
  </si>
  <si>
    <t>Отчет о работах, выполненных за период с Января 2019 г. по Декабрь 2019 г.</t>
  </si>
  <si>
    <t>Прокладка кабеля АВВГ 2*2,5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</si>
  <si>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</si>
  <si>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</si>
  <si>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</si>
  <si>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</si>
  <si>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</si>
  <si>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</si>
  <si>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</si>
  <si>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</si>
  <si>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Утепление м/п швов кв. 22</t>
  </si>
  <si>
    <t>Замена датчиков движения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</si>
  <si>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</si>
  <si>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</si>
  <si>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Устранение засоров канализации</t>
  </si>
  <si>
    <t xml:space="preserve">Предохранитель, устанавливаемый на изоляционном основании, на ток: до 100 А </t>
  </si>
  <si>
    <t>Ремонт забора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</si>
</sst>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0" fontId="28" fillId="0" borderId="11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28" fillId="0" borderId="11" xfId="42" applyNumberFormat="1" applyFont="1" applyFill="1" applyBorder="1" applyAlignment="1" quotePrefix="1">
      <alignment horizontal="right" vertical="center" wrapText="1"/>
      <protection/>
    </xf>
    <xf numFmtId="2" fontId="28" fillId="0" borderId="11" xfId="42" applyNumberFormat="1" applyFont="1" applyFill="1" applyBorder="1" applyAlignment="1" quotePrefix="1">
      <alignment horizontal="right" vertical="center" wrapText="1"/>
      <protection/>
    </xf>
    <xf numFmtId="43" fontId="28" fillId="0" borderId="11" xfId="42" applyNumberFormat="1" applyFont="1" applyFill="1" applyBorder="1" applyAlignment="1" quotePrefix="1">
      <alignment horizontal="right" vertical="center" wrapText="1"/>
      <protection/>
    </xf>
    <xf numFmtId="4" fontId="28" fillId="0" borderId="11" xfId="42" applyNumberForma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4" fontId="25" fillId="0" borderId="0" xfId="0" applyNumberFormat="1" applyFont="1" applyFill="1" applyAlignment="1">
      <alignment wrapText="1"/>
    </xf>
    <xf numFmtId="0" fontId="27" fillId="0" borderId="0" xfId="45" applyFill="1" applyAlignment="1" quotePrefix="1">
      <alignment horizontal="right" vertical="top" wrapText="1"/>
      <protection/>
    </xf>
    <xf numFmtId="0" fontId="47" fillId="0" borderId="11" xfId="0" applyFont="1" applyFill="1" applyBorder="1" applyAlignment="1">
      <alignment horizontal="center" vertical="center" wrapText="1"/>
    </xf>
    <xf numFmtId="4" fontId="27" fillId="0" borderId="12" xfId="39" applyNumberFormat="1" applyFill="1" applyBorder="1" applyAlignment="1" quotePrefix="1">
      <alignment vertical="top" wrapText="1"/>
      <protection/>
    </xf>
    <xf numFmtId="4" fontId="47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28" fillId="0" borderId="11" xfId="43" applyFont="1" applyFill="1" applyBorder="1" applyAlignment="1" quotePrefix="1">
      <alignment horizontal="left" vertical="top" wrapText="1"/>
      <protection/>
    </xf>
    <xf numFmtId="0" fontId="28" fillId="0" borderId="13" xfId="43" applyFill="1" applyBorder="1" applyAlignment="1" quotePrefix="1">
      <alignment horizontal="left" vertical="top" wrapText="1"/>
      <protection/>
    </xf>
    <xf numFmtId="0" fontId="28" fillId="0" borderId="14" xfId="43" applyFill="1" applyBorder="1" applyAlignment="1" quotePrefix="1">
      <alignment horizontal="left" vertical="top" wrapText="1"/>
      <protection/>
    </xf>
    <xf numFmtId="0" fontId="28" fillId="0" borderId="15" xfId="43" applyFill="1" applyBorder="1" applyAlignment="1" quotePrefix="1">
      <alignment horizontal="left" vertical="top" wrapText="1"/>
      <protection/>
    </xf>
    <xf numFmtId="0" fontId="28" fillId="0" borderId="11" xfId="43" applyFill="1" applyBorder="1" applyAlignment="1" quotePrefix="1">
      <alignment horizontal="left" vertical="top" wrapText="1"/>
      <protection/>
    </xf>
    <xf numFmtId="0" fontId="28" fillId="0" borderId="16" xfId="43" applyFill="1" applyBorder="1" applyAlignment="1" quotePrefix="1">
      <alignment horizontal="left" vertical="top" wrapText="1"/>
      <protection/>
    </xf>
    <xf numFmtId="0" fontId="28" fillId="0" borderId="17" xfId="43" applyFill="1" applyBorder="1" applyAlignment="1" quotePrefix="1">
      <alignment horizontal="left" vertical="top" wrapText="1"/>
      <protection/>
    </xf>
    <xf numFmtId="0" fontId="28" fillId="0" borderId="18" xfId="43" applyFill="1" applyBorder="1" applyAlignment="1" quotePrefix="1">
      <alignment horizontal="left" vertical="top" wrapText="1"/>
      <protection/>
    </xf>
    <xf numFmtId="0" fontId="28" fillId="0" borderId="19" xfId="43" applyFill="1" applyBorder="1" applyAlignment="1" quotePrefix="1">
      <alignment horizontal="left" vertical="top" wrapText="1"/>
      <protection/>
    </xf>
    <xf numFmtId="0" fontId="28" fillId="0" borderId="20" xfId="43" applyFill="1" applyBorder="1" applyAlignment="1" quotePrefix="1">
      <alignment horizontal="left" vertical="top" wrapText="1"/>
      <protection/>
    </xf>
    <xf numFmtId="0" fontId="28" fillId="0" borderId="21" xfId="43" applyFill="1" applyBorder="1" applyAlignment="1" quotePrefix="1">
      <alignment horizontal="left" vertical="top" wrapText="1"/>
      <protection/>
    </xf>
    <xf numFmtId="0" fontId="28" fillId="0" borderId="22" xfId="43" applyFill="1" applyBorder="1" applyAlignment="1" quotePrefix="1">
      <alignment horizontal="left" vertical="top" wrapText="1"/>
      <protection/>
    </xf>
    <xf numFmtId="0" fontId="28" fillId="0" borderId="23" xfId="43" applyFill="1" applyBorder="1" applyAlignment="1" quotePrefix="1">
      <alignment horizontal="left" vertical="top" wrapText="1"/>
      <protection/>
    </xf>
    <xf numFmtId="0" fontId="28" fillId="0" borderId="24" xfId="43" applyFill="1" applyBorder="1" applyAlignment="1" quotePrefix="1">
      <alignment horizontal="left" vertical="top" wrapText="1"/>
      <protection/>
    </xf>
    <xf numFmtId="4" fontId="28" fillId="0" borderId="25" xfId="42" applyNumberFormat="1" applyFill="1" applyBorder="1" applyAlignment="1" quotePrefix="1">
      <alignment horizontal="right" vertical="center" wrapText="1"/>
      <protection/>
    </xf>
    <xf numFmtId="4" fontId="28" fillId="0" borderId="26" xfId="42" applyNumberFormat="1" applyFill="1" applyBorder="1" applyAlignment="1" quotePrefix="1">
      <alignment horizontal="right" vertical="center" wrapText="1"/>
      <protection/>
    </xf>
    <xf numFmtId="0" fontId="28" fillId="0" borderId="27" xfId="37" applyFill="1" applyBorder="1" applyAlignment="1" quotePrefix="1">
      <alignment horizontal="left" vertical="top" wrapText="1"/>
      <protection/>
    </xf>
    <xf numFmtId="0" fontId="28" fillId="0" borderId="28" xfId="37" applyFill="1" applyBorder="1" applyAlignment="1" quotePrefix="1">
      <alignment horizontal="left" vertical="top" wrapText="1"/>
      <protection/>
    </xf>
    <xf numFmtId="0" fontId="28" fillId="0" borderId="29" xfId="37" applyFill="1" applyBorder="1" applyAlignment="1" quotePrefix="1">
      <alignment horizontal="left" vertical="top" wrapText="1"/>
      <protection/>
    </xf>
    <xf numFmtId="0" fontId="0" fillId="0" borderId="11" xfId="0" applyFont="1" applyFill="1" applyBorder="1" applyAlignment="1">
      <alignment wrapText="1"/>
    </xf>
    <xf numFmtId="4" fontId="27" fillId="0" borderId="30" xfId="46" applyNumberFormat="1" applyFill="1" applyBorder="1" applyAlignment="1" quotePrefix="1">
      <alignment horizontal="right" vertical="top" wrapText="1"/>
      <protection/>
    </xf>
    <xf numFmtId="4" fontId="27" fillId="0" borderId="0" xfId="39" applyNumberFormat="1" applyFill="1" applyAlignment="1" quotePrefix="1">
      <alignment horizontal="right" vertical="top" wrapText="1"/>
      <protection/>
    </xf>
    <xf numFmtId="0" fontId="27" fillId="0" borderId="13" xfId="41" applyFill="1" applyBorder="1" applyAlignment="1" quotePrefix="1">
      <alignment horizontal="center" vertical="center" wrapText="1"/>
      <protection/>
    </xf>
    <xf numFmtId="0" fontId="27" fillId="0" borderId="14" xfId="41" applyFill="1" applyBorder="1" applyAlignment="1" quotePrefix="1">
      <alignment horizontal="center" vertical="center" wrapText="1"/>
      <protection/>
    </xf>
    <xf numFmtId="0" fontId="28" fillId="0" borderId="31" xfId="40" applyFill="1" applyBorder="1" applyAlignment="1" quotePrefix="1">
      <alignment horizontal="left" vertical="center" wrapText="1"/>
      <protection/>
    </xf>
    <xf numFmtId="0" fontId="28" fillId="0" borderId="30" xfId="40" applyFill="1" applyBorder="1" applyAlignment="1" quotePrefix="1">
      <alignment horizontal="left" vertical="center" wrapText="1"/>
      <protection/>
    </xf>
    <xf numFmtId="0" fontId="27" fillId="0" borderId="12" xfId="34" applyFill="1" applyBorder="1" applyAlignment="1" quotePrefix="1">
      <alignment horizontal="left" vertical="center" wrapText="1"/>
      <protection/>
    </xf>
    <xf numFmtId="0" fontId="0" fillId="0" borderId="11" xfId="0" applyFill="1" applyBorder="1" applyAlignment="1">
      <alignment horizontal="center" wrapText="1"/>
    </xf>
    <xf numFmtId="0" fontId="26" fillId="0" borderId="0" xfId="33" applyFill="1" applyAlignment="1" quotePrefix="1">
      <alignment horizontal="left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1">
          <cell r="B51">
            <v>658742.73</v>
          </cell>
          <cell r="C51">
            <v>651528.7700000001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B36" sqref="B36:D36"/>
    </sheetView>
  </sheetViews>
  <sheetFormatPr defaultColWidth="9.140625" defaultRowHeight="15"/>
  <cols>
    <col min="1" max="1" width="2.140625" style="11" customWidth="1"/>
    <col min="2" max="2" width="6.8515625" style="11" customWidth="1"/>
    <col min="3" max="3" width="32.57421875" style="11" customWidth="1"/>
    <col min="4" max="4" width="36.28125" style="11" customWidth="1"/>
    <col min="5" max="5" width="13.140625" style="11" customWidth="1"/>
    <col min="6" max="6" width="12.7109375" style="11" customWidth="1"/>
    <col min="7" max="7" width="3.28125" style="11" customWidth="1"/>
    <col min="8" max="9" width="11.57421875" style="11" bestFit="1" customWidth="1"/>
    <col min="10" max="16384" width="9.140625" style="11" customWidth="1"/>
  </cols>
  <sheetData>
    <row r="1" spans="1:7" ht="24" customHeight="1">
      <c r="A1" s="48" t="s">
        <v>30</v>
      </c>
      <c r="B1" s="48"/>
      <c r="C1" s="48"/>
      <c r="D1" s="48"/>
      <c r="E1" s="48"/>
      <c r="F1" s="48"/>
      <c r="G1" s="48"/>
    </row>
    <row r="2" spans="2:5" ht="12" customHeight="1">
      <c r="B2" s="46" t="s">
        <v>0</v>
      </c>
      <c r="C2" s="46"/>
      <c r="D2" s="46"/>
      <c r="E2" s="5"/>
    </row>
    <row r="3" spans="2:12" ht="21" customHeight="1">
      <c r="B3" s="42" t="s">
        <v>1</v>
      </c>
      <c r="C3" s="43"/>
      <c r="D3" s="43"/>
      <c r="E3" s="15" t="s">
        <v>37</v>
      </c>
      <c r="H3" s="47" t="s">
        <v>33</v>
      </c>
      <c r="I3" s="47"/>
      <c r="J3" s="47"/>
      <c r="K3" s="47"/>
      <c r="L3" s="47"/>
    </row>
    <row r="4" spans="2:12" ht="15" customHeight="1" thickBot="1">
      <c r="B4" s="44" t="s">
        <v>27</v>
      </c>
      <c r="C4" s="45"/>
      <c r="D4" s="45"/>
      <c r="E4" s="45"/>
      <c r="H4" s="6" t="s">
        <v>16</v>
      </c>
      <c r="I4" s="6" t="s">
        <v>34</v>
      </c>
      <c r="J4" s="6" t="s">
        <v>26</v>
      </c>
      <c r="K4" s="6" t="s">
        <v>35</v>
      </c>
      <c r="L4" s="6" t="s">
        <v>36</v>
      </c>
    </row>
    <row r="5" spans="2:12" ht="23.25" customHeight="1" thickBot="1">
      <c r="B5" s="21" t="s">
        <v>22</v>
      </c>
      <c r="C5" s="22"/>
      <c r="D5" s="23"/>
      <c r="E5" s="10">
        <f>2.05*J5*12+J5*2*2.05+2.05*4*J5</f>
        <v>3140.1899999999996</v>
      </c>
      <c r="H5" s="1">
        <v>79</v>
      </c>
      <c r="I5" s="1">
        <v>3398.8</v>
      </c>
      <c r="J5" s="1">
        <v>85.1</v>
      </c>
      <c r="K5" s="1">
        <v>1232.5</v>
      </c>
      <c r="L5" s="2">
        <v>26</v>
      </c>
    </row>
    <row r="6" spans="2:5" ht="36" customHeight="1">
      <c r="B6" s="21" t="s">
        <v>17</v>
      </c>
      <c r="C6" s="22"/>
      <c r="D6" s="23"/>
      <c r="E6" s="10">
        <f>(I5*2.05*2)</f>
        <v>13935.08</v>
      </c>
    </row>
    <row r="7" spans="2:5" ht="12" customHeight="1">
      <c r="B7" s="21" t="s">
        <v>18</v>
      </c>
      <c r="C7" s="22"/>
      <c r="D7" s="23"/>
      <c r="E7" s="10">
        <f>I5*2.05*2</f>
        <v>13935.08</v>
      </c>
    </row>
    <row r="8" spans="2:5" ht="12" customHeight="1" hidden="1">
      <c r="B8" s="21" t="s">
        <v>19</v>
      </c>
      <c r="C8" s="22"/>
      <c r="D8" s="23"/>
      <c r="E8" s="10"/>
    </row>
    <row r="9" spans="2:5" ht="22.5" customHeight="1">
      <c r="B9" s="21" t="s">
        <v>20</v>
      </c>
      <c r="C9" s="22"/>
      <c r="D9" s="23"/>
      <c r="E9" s="10">
        <f>(3*121.53*2*I5/1000)*3</f>
        <v>7435.0109520000005</v>
      </c>
    </row>
    <row r="10" spans="2:5" ht="12" customHeight="1">
      <c r="B10" s="21" t="s">
        <v>9</v>
      </c>
      <c r="C10" s="22"/>
      <c r="D10" s="23"/>
      <c r="E10" s="10">
        <f>12*I5*0.83</f>
        <v>33852.048</v>
      </c>
    </row>
    <row r="11" spans="2:5" ht="12" customHeight="1">
      <c r="B11" s="21" t="s">
        <v>11</v>
      </c>
      <c r="C11" s="22"/>
      <c r="D11" s="23"/>
      <c r="E11" s="10">
        <f>12*I5*6.05</f>
        <v>246752.88000000003</v>
      </c>
    </row>
    <row r="12" spans="2:5" ht="12" customHeight="1">
      <c r="B12" s="21" t="s">
        <v>12</v>
      </c>
      <c r="C12" s="22"/>
      <c r="D12" s="23"/>
      <c r="E12" s="10">
        <f>1*L5*286.7</f>
        <v>7454.2</v>
      </c>
    </row>
    <row r="13" spans="2:5" ht="12" customHeight="1">
      <c r="B13" s="21" t="s">
        <v>10</v>
      </c>
      <c r="C13" s="22"/>
      <c r="D13" s="23"/>
      <c r="E13" s="10">
        <f>12*I5*0.54</f>
        <v>22024.224000000006</v>
      </c>
    </row>
    <row r="14" spans="2:5" ht="12" customHeight="1">
      <c r="B14" s="36" t="s">
        <v>14</v>
      </c>
      <c r="C14" s="37"/>
      <c r="D14" s="38"/>
      <c r="E14" s="10">
        <v>20000</v>
      </c>
    </row>
    <row r="15" spans="2:5" ht="6" customHeight="1">
      <c r="B15" s="28" t="s">
        <v>13</v>
      </c>
      <c r="C15" s="29"/>
      <c r="D15" s="30"/>
      <c r="E15" s="34">
        <f>12*I5*1.41</f>
        <v>57507.696</v>
      </c>
    </row>
    <row r="16" spans="2:5" ht="6" customHeight="1">
      <c r="B16" s="31"/>
      <c r="C16" s="32"/>
      <c r="D16" s="33"/>
      <c r="E16" s="35"/>
    </row>
    <row r="17" spans="2:5" ht="6" customHeight="1">
      <c r="B17" s="28" t="s">
        <v>21</v>
      </c>
      <c r="C17" s="29"/>
      <c r="D17" s="30"/>
      <c r="E17" s="34">
        <f>12*I5*3.78</f>
        <v>154169.56800000003</v>
      </c>
    </row>
    <row r="18" spans="2:5" ht="6" customHeight="1">
      <c r="B18" s="31"/>
      <c r="C18" s="32"/>
      <c r="D18" s="33"/>
      <c r="E18" s="35"/>
    </row>
    <row r="19" spans="2:5" ht="12" customHeight="1">
      <c r="B19" s="25" t="s">
        <v>23</v>
      </c>
      <c r="C19" s="26"/>
      <c r="D19" s="27"/>
      <c r="E19" s="10">
        <f>12*I5*0.37</f>
        <v>15090.672000000002</v>
      </c>
    </row>
    <row r="20" spans="2:5" ht="12" customHeight="1">
      <c r="B20" s="25" t="s">
        <v>24</v>
      </c>
      <c r="C20" s="26"/>
      <c r="D20" s="27"/>
      <c r="E20" s="10">
        <f>H5*2*70%*2*137.35*0.38</f>
        <v>11545.091599999998</v>
      </c>
    </row>
    <row r="21" spans="2:5" ht="12" customHeight="1">
      <c r="B21" s="25" t="s">
        <v>25</v>
      </c>
      <c r="C21" s="26"/>
      <c r="D21" s="27"/>
      <c r="E21" s="10">
        <f>H5*70%*2*137.35*0.38</f>
        <v>5772.545799999999</v>
      </c>
    </row>
    <row r="22" spans="2:5" ht="12" customHeight="1">
      <c r="B22" s="24" t="s">
        <v>2</v>
      </c>
      <c r="C22" s="24"/>
      <c r="D22" s="24"/>
      <c r="E22" s="4">
        <f>68.68*10</f>
        <v>686.8000000000001</v>
      </c>
    </row>
    <row r="23" spans="2:5" ht="12" customHeight="1">
      <c r="B23" s="24" t="s">
        <v>3</v>
      </c>
      <c r="C23" s="24"/>
      <c r="D23" s="24"/>
      <c r="E23" s="4">
        <f>68.68*15</f>
        <v>1030.2</v>
      </c>
    </row>
    <row r="24" spans="2:5" ht="12" customHeight="1">
      <c r="B24" s="24" t="s">
        <v>4</v>
      </c>
      <c r="C24" s="24"/>
      <c r="D24" s="24"/>
      <c r="E24" s="4">
        <f>68.68*14</f>
        <v>961.5200000000001</v>
      </c>
    </row>
    <row r="25" spans="2:5" s="19" customFormat="1" ht="12" customHeight="1">
      <c r="B25" s="20" t="s">
        <v>45</v>
      </c>
      <c r="C25" s="39"/>
      <c r="D25" s="39"/>
      <c r="E25" s="9">
        <f>4*'[2]на июль 15г'!$J$1015</f>
        <v>3385.554100325078</v>
      </c>
    </row>
    <row r="26" spans="2:5" s="19" customFormat="1" ht="14.25" customHeight="1">
      <c r="B26" s="20" t="s">
        <v>42</v>
      </c>
      <c r="C26" s="20"/>
      <c r="D26" s="20"/>
      <c r="E26" s="9">
        <f>50.89*2</f>
        <v>101.78</v>
      </c>
    </row>
    <row r="27" spans="2:5" s="19" customFormat="1" ht="11.25" customHeight="1">
      <c r="B27" s="20" t="s">
        <v>39</v>
      </c>
      <c r="C27" s="20"/>
      <c r="D27" s="20"/>
      <c r="E27" s="9">
        <f>1*'[1]на июль 15г'!$J$277</f>
        <v>835.5001207362125</v>
      </c>
    </row>
    <row r="28" spans="2:5" s="19" customFormat="1" ht="12" customHeight="1">
      <c r="B28" s="20" t="s">
        <v>41</v>
      </c>
      <c r="C28" s="20"/>
      <c r="D28" s="20"/>
      <c r="E28" s="9">
        <f>2*'[1]на июль 15г'!$J$277</f>
        <v>1671.000241472425</v>
      </c>
    </row>
    <row r="29" spans="2:5" s="19" customFormat="1" ht="12.75" customHeight="1">
      <c r="B29" s="20" t="s">
        <v>31</v>
      </c>
      <c r="C29" s="20"/>
      <c r="D29" s="20"/>
      <c r="E29" s="8">
        <f>62*'[4]на июль 15г'!$J$1057</f>
        <v>7097.944809448938</v>
      </c>
    </row>
    <row r="30" spans="2:5" s="19" customFormat="1" ht="13.5" customHeight="1">
      <c r="B30" s="20" t="s">
        <v>43</v>
      </c>
      <c r="C30" s="20"/>
      <c r="D30" s="20"/>
      <c r="E30" s="8">
        <f>22*'[1]на июль 15г'!$J$198</f>
        <v>3619.1769734453583</v>
      </c>
    </row>
    <row r="31" spans="2:5" s="19" customFormat="1" ht="12" customHeight="1">
      <c r="B31" s="20" t="s">
        <v>28</v>
      </c>
      <c r="C31" s="20"/>
      <c r="D31" s="20"/>
      <c r="E31" s="9">
        <f>5*'[1]на июль 15г'!$J$323</f>
        <v>499.8774741255236</v>
      </c>
    </row>
    <row r="32" spans="2:5" s="19" customFormat="1" ht="12.75" customHeight="1">
      <c r="B32" s="20" t="s">
        <v>6</v>
      </c>
      <c r="C32" s="20"/>
      <c r="D32" s="20"/>
      <c r="E32" s="8">
        <f>11*'[1]на июль 15г'!$J$211</f>
        <v>633.7103468261813</v>
      </c>
    </row>
    <row r="33" spans="2:5" s="19" customFormat="1" ht="12.75" customHeight="1">
      <c r="B33" s="20" t="s">
        <v>38</v>
      </c>
      <c r="C33" s="20"/>
      <c r="D33" s="20"/>
      <c r="E33" s="8">
        <f>28*'[1]на июль 15г'!$J$211</f>
        <v>1613.0808828302797</v>
      </c>
    </row>
    <row r="34" spans="2:5" s="19" customFormat="1" ht="12" customHeight="1">
      <c r="B34" s="20" t="s">
        <v>5</v>
      </c>
      <c r="C34" s="20"/>
      <c r="D34" s="20"/>
      <c r="E34" s="9">
        <f>4*'[1]на июль 15г'!$J$264</f>
        <v>283.5772870495433</v>
      </c>
    </row>
    <row r="35" spans="2:5" s="3" customFormat="1" ht="12" customHeight="1">
      <c r="B35" s="20" t="s">
        <v>40</v>
      </c>
      <c r="C35" s="20"/>
      <c r="D35" s="20"/>
      <c r="E35" s="7">
        <v>17357.09</v>
      </c>
    </row>
    <row r="36" spans="2:5" s="12" customFormat="1" ht="15">
      <c r="B36" s="20" t="s">
        <v>8</v>
      </c>
      <c r="C36" s="20"/>
      <c r="D36" s="20"/>
      <c r="E36" s="7">
        <f>2201.44+550.57+2500</f>
        <v>5252.01</v>
      </c>
    </row>
    <row r="37" spans="2:5" ht="14.25" customHeight="1">
      <c r="B37" s="20" t="s">
        <v>15</v>
      </c>
      <c r="C37" s="20"/>
      <c r="D37" s="20"/>
      <c r="E37" s="7">
        <v>478.94</v>
      </c>
    </row>
    <row r="38" spans="2:5" s="18" customFormat="1" ht="12" customHeight="1">
      <c r="B38" s="20" t="s">
        <v>44</v>
      </c>
      <c r="C38" s="20"/>
      <c r="D38" s="20"/>
      <c r="E38" s="7">
        <v>2000</v>
      </c>
    </row>
    <row r="39" spans="2:5" ht="12" customHeight="1">
      <c r="B39" s="20" t="s">
        <v>46</v>
      </c>
      <c r="C39" s="20"/>
      <c r="D39" s="20"/>
      <c r="E39" s="8">
        <f>874.07+1610</f>
        <v>2484.07</v>
      </c>
    </row>
    <row r="40" ht="15">
      <c r="E40" s="13">
        <f>SUM(E5:E39)</f>
        <v>662606.1185882594</v>
      </c>
    </row>
    <row r="41" spans="3:5" ht="12" customHeight="1">
      <c r="C41" s="14" t="s">
        <v>29</v>
      </c>
      <c r="D41" s="40">
        <f>'[3]Лист1'!$B$51</f>
        <v>658742.73</v>
      </c>
      <c r="E41" s="40"/>
    </row>
    <row r="42" spans="3:5" ht="12" customHeight="1">
      <c r="C42" s="14" t="s">
        <v>7</v>
      </c>
      <c r="D42" s="41">
        <f>'[3]Лист1'!$C$51</f>
        <v>651528.7700000001</v>
      </c>
      <c r="E42" s="41"/>
    </row>
    <row r="43" spans="3:5" ht="12" customHeight="1">
      <c r="C43" s="14" t="s">
        <v>32</v>
      </c>
      <c r="D43" s="16"/>
      <c r="E43" s="17">
        <f>E40</f>
        <v>662606.1185882594</v>
      </c>
    </row>
  </sheetData>
  <sheetProtection password="CCF3" sheet="1" objects="1" scenarios="1" selectLockedCells="1" selectUnlockedCells="1"/>
  <mergeCells count="42">
    <mergeCell ref="B3:D3"/>
    <mergeCell ref="B4:E4"/>
    <mergeCell ref="B2:D2"/>
    <mergeCell ref="H3:L3"/>
    <mergeCell ref="A1:G1"/>
    <mergeCell ref="B38:D38"/>
    <mergeCell ref="D41:E41"/>
    <mergeCell ref="B39:D39"/>
    <mergeCell ref="D42:E42"/>
    <mergeCell ref="B6:D6"/>
    <mergeCell ref="B7:D7"/>
    <mergeCell ref="B11:D11"/>
    <mergeCell ref="B12:D12"/>
    <mergeCell ref="B13:D13"/>
    <mergeCell ref="B10:D10"/>
    <mergeCell ref="B37:D37"/>
    <mergeCell ref="B25:D25"/>
    <mergeCell ref="B30:D30"/>
    <mergeCell ref="B26:D26"/>
    <mergeCell ref="B28:D28"/>
    <mergeCell ref="B35:D35"/>
    <mergeCell ref="B34:D34"/>
    <mergeCell ref="B32:D32"/>
    <mergeCell ref="B5:D5"/>
    <mergeCell ref="B31:D31"/>
    <mergeCell ref="B27:D27"/>
    <mergeCell ref="B17:D18"/>
    <mergeCell ref="E15:E16"/>
    <mergeCell ref="E17:E18"/>
    <mergeCell ref="B21:D21"/>
    <mergeCell ref="B22:D22"/>
    <mergeCell ref="B14:D14"/>
    <mergeCell ref="B15:D16"/>
    <mergeCell ref="B33:D33"/>
    <mergeCell ref="B29:D29"/>
    <mergeCell ref="B8:D8"/>
    <mergeCell ref="B36:D36"/>
    <mergeCell ref="B23:D23"/>
    <mergeCell ref="B24:D24"/>
    <mergeCell ref="B19:D19"/>
    <mergeCell ref="B20:D20"/>
    <mergeCell ref="B9:D9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2020-03-27T02:57:09Z</dcterms:modified>
  <cp:category/>
  <cp:version/>
  <cp:contentType/>
  <cp:contentStatus/>
</cp:coreProperties>
</file>