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'Лист'!#REF!</definedName>
  </definedNames>
  <calcPr calcMode="autoNoTable" fullCalcOnLoad="1"/>
</workbook>
</file>

<file path=xl/sharedStrings.xml><?xml version="1.0" encoding="utf-8"?>
<sst xmlns="http://schemas.openxmlformats.org/spreadsheetml/2006/main" count="68" uniqueCount="67">
  <si>
    <t>Сгруппированный по операциям</t>
  </si>
  <si>
    <t>Список операций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</si>
  <si>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</si>
  <si>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</si>
  <si>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выключателей</t>
  </si>
  <si>
    <t>Смена ламп накаливания</t>
  </si>
  <si>
    <t>Оплачено по дому:</t>
  </si>
  <si>
    <t>Очистка кровли от снега и скалывание сосулек</t>
  </si>
  <si>
    <t>Смена внутренних трубопроводов из стальных труб диаметром: до 20 мм</t>
  </si>
  <si>
    <t>Ремонт детской площадки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</si>
  <si>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</si>
  <si>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</si>
  <si>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</si>
  <si>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</si>
  <si>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</si>
  <si>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</si>
  <si>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Смена внутренних трубопроводов из стальных труб диаметром: до 50 мм</t>
  </si>
  <si>
    <t>Смена внутренних трубопроводов из стальных труб диаметром: до 15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</si>
  <si>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</si>
  <si>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</si>
  <si>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</si>
  <si>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</si>
  <si>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</si>
  <si>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</si>
  <si>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</si>
  <si>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</si>
  <si>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</si>
  <si>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</si>
  <si>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</si>
  <si>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 xml:space="preserve">Адрес дома: СПОРТИВНАЯ, 34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</si>
  <si>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</si>
  <si>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</si>
  <si>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</si>
  <si>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</si>
  <si>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линий электрических сетей, арматуры и электрооборудования в квартирах</t>
  </si>
  <si>
    <t>Поверка общедомовых приборов учета (воды)</t>
  </si>
  <si>
    <t>Осмотр внутриквартийных устройств центрального отопления  в квартирах</t>
  </si>
  <si>
    <t>подвал</t>
  </si>
  <si>
    <t>Смена патронов</t>
  </si>
  <si>
    <t>Смена сборки диаметром 15 мм</t>
  </si>
  <si>
    <t>Начислено по дому:</t>
  </si>
  <si>
    <t>Ремонт отдельных мест покрытия из асбоцементных листов: обыкновенного профиля</t>
  </si>
  <si>
    <t>Изготовление скребков</t>
  </si>
  <si>
    <t>Отчет о работах, выполненных за период с Января 2019 г. по Декабрь 2019 г.</t>
  </si>
  <si>
    <t>Разборка трубопроводов из чугунных канализационных труб диаметром: 100 мм</t>
  </si>
  <si>
    <t>Прокладка внутренних трубопроводов канализации из полипропиленовых труб диаметром: 110 мм</t>
  </si>
  <si>
    <t>Прокладка кабеля АВВГ 2*2,5</t>
  </si>
  <si>
    <t>Замена распределительной коробки</t>
  </si>
  <si>
    <t xml:space="preserve">Ремонт водосточных труб </t>
  </si>
  <si>
    <t>Ремонт приямков</t>
  </si>
  <si>
    <t>Установка аншлагов и номеров</t>
  </si>
  <si>
    <t>Итого затрачено по дому:</t>
  </si>
  <si>
    <t>Количество</t>
  </si>
  <si>
    <t xml:space="preserve">общая площадь </t>
  </si>
  <si>
    <t>чердак</t>
  </si>
  <si>
    <t>стояки</t>
  </si>
  <si>
    <t>Сумма</t>
  </si>
  <si>
    <t>Смена ламп: светодиодных</t>
  </si>
  <si>
    <t>Замена датчиков движения</t>
  </si>
  <si>
    <t>Ремонт балконных плит кв.30,51</t>
  </si>
  <si>
    <t>Установка зонта на вент.шахту, 4,6 подъезды</t>
  </si>
  <si>
    <t>Ремонт подъездов 1,2,5,6</t>
  </si>
  <si>
    <t>Установка пружин на тамбурные двери</t>
  </si>
  <si>
    <t>Замена автоматических выключателей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</si>
  <si>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</si>
  <si>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</si>
  <si>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 xml:space="preserve">Предохранитель, устанавливаемый на изоляционном основании, на ток: до 100 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</si>
</sst>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30" fillId="0" borderId="0" xfId="44" applyAlignment="1" quotePrefix="1">
      <alignment horizontal="lef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4" fontId="29" fillId="0" borderId="12" xfId="39" applyNumberFormat="1" applyBorder="1" applyAlignment="1" quotePrefix="1">
      <alignment vertical="top" wrapText="1"/>
      <protection/>
    </xf>
    <xf numFmtId="0" fontId="0" fillId="0" borderId="13" xfId="0" applyBorder="1" applyAlignment="1">
      <alignment wrapText="1"/>
    </xf>
    <xf numFmtId="0" fontId="39" fillId="0" borderId="0" xfId="0" applyFont="1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0" fillId="0" borderId="0" xfId="0" applyAlignment="1">
      <alignment wrapText="1"/>
    </xf>
    <xf numFmtId="4" fontId="30" fillId="0" borderId="14" xfId="42" applyNumberFormat="1" applyFont="1" applyBorder="1" applyAlignment="1" quotePrefix="1">
      <alignment horizontal="right" vertical="center" wrapText="1"/>
      <protection/>
    </xf>
    <xf numFmtId="4" fontId="51" fillId="0" borderId="0" xfId="0" applyNumberFormat="1" applyFont="1" applyAlignment="1">
      <alignment wrapText="1"/>
    </xf>
    <xf numFmtId="4" fontId="52" fillId="0" borderId="0" xfId="0" applyNumberFormat="1" applyFont="1" applyBorder="1" applyAlignment="1">
      <alignment horizontal="right"/>
    </xf>
    <xf numFmtId="0" fontId="51" fillId="0" borderId="14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39" fillId="35" borderId="0" xfId="0" applyFont="1" applyFill="1" applyAlignment="1">
      <alignment wrapText="1"/>
    </xf>
    <xf numFmtId="0" fontId="0" fillId="0" borderId="0" xfId="0" applyAlignment="1">
      <alignment wrapText="1"/>
    </xf>
    <xf numFmtId="0" fontId="39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4" xfId="0" applyFill="1" applyBorder="1" applyAlignment="1">
      <alignment horizontal="center" wrapText="1"/>
    </xf>
    <xf numFmtId="0" fontId="29" fillId="21" borderId="14" xfId="4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" fontId="30" fillId="0" borderId="14" xfId="42" applyNumberFormat="1" applyFon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4" fontId="30" fillId="0" borderId="15" xfId="42" applyNumberFormat="1" applyFont="1" applyBorder="1" applyAlignment="1" quotePrefix="1">
      <alignment horizontal="right" vertical="center" wrapText="1"/>
      <protection/>
    </xf>
    <xf numFmtId="0" fontId="30" fillId="0" borderId="14" xfId="42" applyNumberFormat="1" applyFont="1" applyFill="1" applyBorder="1" applyAlignment="1" quotePrefix="1">
      <alignment horizontal="right" vertical="center" wrapText="1"/>
      <protection/>
    </xf>
    <xf numFmtId="2" fontId="30" fillId="0" borderId="14" xfId="42" applyNumberFormat="1" applyFont="1" applyFill="1" applyBorder="1" applyAlignment="1" quotePrefix="1">
      <alignment horizontal="right" vertical="center" wrapText="1"/>
      <protection/>
    </xf>
    <xf numFmtId="43" fontId="30" fillId="0" borderId="14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4" fontId="30" fillId="0" borderId="14" xfId="42" applyNumberFormat="1" applyFont="1" applyBorder="1" applyAlignment="1" quotePrefix="1">
      <alignment horizontal="right" vertical="center" wrapText="1"/>
      <protection/>
    </xf>
    <xf numFmtId="4" fontId="51" fillId="0" borderId="14" xfId="0" applyNumberFormat="1" applyFont="1" applyFill="1" applyBorder="1" applyAlignment="1">
      <alignment horizontal="right"/>
    </xf>
    <xf numFmtId="171" fontId="50" fillId="0" borderId="12" xfId="76" applyFont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36" borderId="14" xfId="0" applyFill="1" applyBorder="1" applyAlignment="1">
      <alignment horizontal="center" wrapText="1"/>
    </xf>
    <xf numFmtId="0" fontId="30" fillId="0" borderId="14" xfId="43" applyBorder="1" applyAlignment="1" quotePrefix="1">
      <alignment horizontal="left" vertical="top" wrapText="1"/>
      <protection/>
    </xf>
    <xf numFmtId="0" fontId="30" fillId="0" borderId="14" xfId="43" applyFont="1" applyFill="1" applyBorder="1" applyAlignment="1" quotePrefix="1">
      <alignment horizontal="left" vertical="top" wrapText="1"/>
      <protection/>
    </xf>
    <xf numFmtId="0" fontId="28" fillId="0" borderId="0" xfId="33" applyAlignment="1" quotePrefix="1">
      <alignment horizontal="center" vertical="center" wrapText="1"/>
      <protection/>
    </xf>
    <xf numFmtId="0" fontId="0" fillId="0" borderId="14" xfId="0" applyFont="1" applyFill="1" applyBorder="1" applyAlignment="1">
      <alignment wrapText="1"/>
    </xf>
    <xf numFmtId="0" fontId="30" fillId="0" borderId="16" xfId="43" applyBorder="1" applyAlignment="1" quotePrefix="1">
      <alignment horizontal="left" vertical="top" wrapText="1"/>
      <protection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8" xfId="43" applyBorder="1" applyAlignment="1" quotePrefix="1">
      <alignment horizontal="left" vertical="top" wrapText="1"/>
      <protection/>
    </xf>
    <xf numFmtId="0" fontId="30" fillId="0" borderId="19" xfId="43" applyBorder="1" applyAlignment="1" quotePrefix="1">
      <alignment horizontal="left" vertical="top" wrapText="1"/>
      <protection/>
    </xf>
    <xf numFmtId="0" fontId="29" fillId="21" borderId="20" xfId="41" applyBorder="1" applyAlignment="1" quotePrefix="1">
      <alignment horizontal="center" vertical="center" wrapText="1"/>
      <protection/>
    </xf>
    <xf numFmtId="0" fontId="29" fillId="21" borderId="17" xfId="41" applyBorder="1" applyAlignment="1" quotePrefix="1">
      <alignment horizontal="center" vertical="center" wrapText="1"/>
      <protection/>
    </xf>
    <xf numFmtId="4" fontId="30" fillId="0" borderId="14" xfId="42" applyNumberFormat="1" applyFont="1" applyBorder="1" applyAlignment="1" quotePrefix="1">
      <alignment horizontal="right" vertical="center" wrapText="1"/>
      <protection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4" fontId="29" fillId="0" borderId="0" xfId="47" applyNumberFormat="1" applyAlignment="1" quotePrefix="1">
      <alignment horizontal="right" vertical="top" wrapText="1"/>
      <protection/>
    </xf>
    <xf numFmtId="0" fontId="30" fillId="20" borderId="20" xfId="40" applyBorder="1" applyAlignment="1" quotePrefix="1">
      <alignment horizontal="left" vertical="center" wrapText="1"/>
      <protection/>
    </xf>
    <xf numFmtId="0" fontId="0" fillId="0" borderId="17" xfId="0" applyBorder="1" applyAlignment="1">
      <alignment wrapText="1"/>
    </xf>
    <xf numFmtId="0" fontId="30" fillId="0" borderId="14" xfId="37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290">
          <cell r="J290">
            <v>609.0492647362124</v>
          </cell>
        </row>
        <row r="323">
          <cell r="J323">
            <v>99.97549482510472</v>
          </cell>
        </row>
        <row r="333">
          <cell r="J333">
            <v>955.6761932821831</v>
          </cell>
        </row>
        <row r="434">
          <cell r="J434">
            <v>612.3639222642756</v>
          </cell>
        </row>
        <row r="444">
          <cell r="J444">
            <v>684.615821482499</v>
          </cell>
        </row>
        <row r="484">
          <cell r="J484">
            <v>1304.1603838424317</v>
          </cell>
        </row>
        <row r="535">
          <cell r="J535">
            <v>396.71950390079024</v>
          </cell>
        </row>
        <row r="565">
          <cell r="J565">
            <v>508.58501433463834</v>
          </cell>
        </row>
        <row r="677">
          <cell r="J677">
            <v>786.6130943054591</v>
          </cell>
        </row>
        <row r="915">
          <cell r="J915">
            <v>467.02159089779934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940">
          <cell r="J940">
            <v>546.9912167362124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1">
          <cell r="B71">
            <v>851777.3999999999</v>
          </cell>
          <cell r="C71">
            <v>840630.2999999999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110" zoomScaleNormal="110" zoomScalePageLayoutView="0" workbookViewId="0" topLeftCell="A1">
      <selection activeCell="E59" sqref="E59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0.57421875" style="1" customWidth="1"/>
    <col min="4" max="4" width="11.421875" style="1" customWidth="1"/>
    <col min="5" max="5" width="13.140625" style="15" customWidth="1"/>
    <col min="6" max="6" width="10.8515625" style="1" customWidth="1"/>
    <col min="7" max="7" width="3.7109375" style="1" customWidth="1"/>
    <col min="8" max="16384" width="9.140625" style="1" customWidth="1"/>
  </cols>
  <sheetData>
    <row r="1" spans="1:5" s="22" customFormat="1" ht="24" customHeight="1">
      <c r="A1" s="45" t="s">
        <v>43</v>
      </c>
      <c r="B1" s="45"/>
      <c r="C1" s="45"/>
      <c r="D1" s="45"/>
      <c r="E1" s="45"/>
    </row>
    <row r="2" ht="12" customHeight="1">
      <c r="B2" s="4" t="s">
        <v>0</v>
      </c>
    </row>
    <row r="3" spans="2:12" ht="21" customHeight="1">
      <c r="B3" s="51" t="s">
        <v>1</v>
      </c>
      <c r="C3" s="52"/>
      <c r="D3" s="52"/>
      <c r="E3" s="28" t="s">
        <v>56</v>
      </c>
      <c r="H3" s="42" t="s">
        <v>52</v>
      </c>
      <c r="I3" s="42"/>
      <c r="J3" s="42"/>
      <c r="K3" s="42"/>
      <c r="L3" s="42"/>
    </row>
    <row r="4" spans="2:12" ht="15" customHeight="1" thickBot="1">
      <c r="B4" s="57" t="s">
        <v>29</v>
      </c>
      <c r="C4" s="58"/>
      <c r="D4" s="58"/>
      <c r="E4" s="58"/>
      <c r="H4" s="27" t="s">
        <v>19</v>
      </c>
      <c r="I4" s="27" t="s">
        <v>53</v>
      </c>
      <c r="J4" s="27" t="s">
        <v>37</v>
      </c>
      <c r="K4" s="27" t="s">
        <v>54</v>
      </c>
      <c r="L4" s="27" t="s">
        <v>55</v>
      </c>
    </row>
    <row r="5" spans="2:12" ht="12" customHeight="1" hidden="1" thickBot="1">
      <c r="B5" s="47" t="s">
        <v>18</v>
      </c>
      <c r="C5" s="48"/>
      <c r="D5" s="48"/>
      <c r="E5" s="14"/>
      <c r="H5" s="5" t="s">
        <v>19</v>
      </c>
      <c r="I5" s="5" t="s">
        <v>20</v>
      </c>
      <c r="J5" s="5" t="s">
        <v>21</v>
      </c>
      <c r="K5" s="5" t="s">
        <v>22</v>
      </c>
      <c r="L5" s="6" t="s">
        <v>23</v>
      </c>
    </row>
    <row r="6" spans="2:12" ht="23.25" customHeight="1" thickBot="1">
      <c r="B6" s="49" t="s">
        <v>30</v>
      </c>
      <c r="C6" s="50"/>
      <c r="D6" s="50"/>
      <c r="E6" s="33">
        <f>2.05*J6*12+J6*2*2.05+2.05*4*J6*2</f>
        <v>50268.45999999999</v>
      </c>
      <c r="H6" s="7">
        <v>90</v>
      </c>
      <c r="I6" s="7">
        <v>4394.7</v>
      </c>
      <c r="J6" s="7">
        <v>1114.6</v>
      </c>
      <c r="K6" s="7">
        <v>1114.6</v>
      </c>
      <c r="L6" s="8">
        <v>68</v>
      </c>
    </row>
    <row r="7" spans="2:5" ht="36" customHeight="1">
      <c r="B7" s="43" t="s">
        <v>24</v>
      </c>
      <c r="C7" s="43"/>
      <c r="D7" s="43"/>
      <c r="E7" s="31">
        <f>(I6*2.05*2)</f>
        <v>18018.269999999997</v>
      </c>
    </row>
    <row r="8" spans="2:5" ht="12" customHeight="1">
      <c r="B8" s="43" t="s">
        <v>25</v>
      </c>
      <c r="C8" s="43"/>
      <c r="D8" s="43"/>
      <c r="E8" s="31">
        <f>I6*2.05*2</f>
        <v>18018.269999999997</v>
      </c>
    </row>
    <row r="9" spans="2:5" ht="12" customHeight="1" hidden="1">
      <c r="B9" s="43" t="s">
        <v>26</v>
      </c>
      <c r="C9" s="43"/>
      <c r="D9" s="43"/>
      <c r="E9" s="31"/>
    </row>
    <row r="10" spans="2:5" ht="24" customHeight="1">
      <c r="B10" s="43" t="s">
        <v>27</v>
      </c>
      <c r="C10" s="43"/>
      <c r="D10" s="43"/>
      <c r="E10" s="31">
        <f>(3*121.53*2*I6/1000)*3</f>
        <v>9613.582038</v>
      </c>
    </row>
    <row r="11" spans="2:5" ht="12" customHeight="1">
      <c r="B11" s="43" t="s">
        <v>10</v>
      </c>
      <c r="C11" s="43"/>
      <c r="D11" s="43"/>
      <c r="E11" s="31">
        <f>12*I6*0.83</f>
        <v>43771.21199999999</v>
      </c>
    </row>
    <row r="12" spans="2:5" ht="12" customHeight="1">
      <c r="B12" s="43" t="s">
        <v>12</v>
      </c>
      <c r="C12" s="43"/>
      <c r="D12" s="43"/>
      <c r="E12" s="31">
        <f>12*I6*6.05</f>
        <v>319055.22</v>
      </c>
    </row>
    <row r="13" spans="2:5" ht="12" customHeight="1">
      <c r="B13" s="43" t="s">
        <v>13</v>
      </c>
      <c r="C13" s="43"/>
      <c r="D13" s="43"/>
      <c r="E13" s="31">
        <f>1*L6*286.7*2</f>
        <v>38991.2</v>
      </c>
    </row>
    <row r="14" spans="2:5" ht="12" customHeight="1">
      <c r="B14" s="43" t="s">
        <v>11</v>
      </c>
      <c r="C14" s="43"/>
      <c r="D14" s="43"/>
      <c r="E14" s="31">
        <f>12*I6*0.54</f>
        <v>28477.656</v>
      </c>
    </row>
    <row r="15" spans="2:5" ht="12" customHeight="1">
      <c r="B15" s="59" t="s">
        <v>15</v>
      </c>
      <c r="C15" s="59"/>
      <c r="D15" s="59"/>
      <c r="E15" s="31">
        <v>10000</v>
      </c>
    </row>
    <row r="16" spans="2:5" ht="6" customHeight="1">
      <c r="B16" s="43" t="s">
        <v>14</v>
      </c>
      <c r="C16" s="43"/>
      <c r="D16" s="43"/>
      <c r="E16" s="53">
        <f>12*I6*0.77</f>
        <v>40607.028</v>
      </c>
    </row>
    <row r="17" spans="2:5" ht="6" customHeight="1">
      <c r="B17" s="43"/>
      <c r="C17" s="43"/>
      <c r="D17" s="43"/>
      <c r="E17" s="53"/>
    </row>
    <row r="18" spans="2:5" ht="6" customHeight="1">
      <c r="B18" s="43" t="s">
        <v>28</v>
      </c>
      <c r="C18" s="43"/>
      <c r="D18" s="43"/>
      <c r="E18" s="53">
        <f>12*I6*1.39</f>
        <v>73303.59599999999</v>
      </c>
    </row>
    <row r="19" spans="2:5" ht="6" customHeight="1">
      <c r="B19" s="43"/>
      <c r="C19" s="43"/>
      <c r="D19" s="43"/>
      <c r="E19" s="53"/>
    </row>
    <row r="20" spans="2:5" s="37" customFormat="1" ht="12" customHeight="1">
      <c r="B20" s="43" t="s">
        <v>35</v>
      </c>
      <c r="C20" s="43"/>
      <c r="D20" s="43"/>
      <c r="E20" s="38">
        <v>2100</v>
      </c>
    </row>
    <row r="21" spans="2:5" ht="12" customHeight="1">
      <c r="B21" s="43" t="s">
        <v>31</v>
      </c>
      <c r="C21" s="43"/>
      <c r="D21" s="43"/>
      <c r="E21" s="31">
        <f>12*I6*0.37</f>
        <v>19512.467999999997</v>
      </c>
    </row>
    <row r="22" spans="2:5" ht="12" customHeight="1">
      <c r="B22" s="43" t="s">
        <v>32</v>
      </c>
      <c r="C22" s="43"/>
      <c r="D22" s="43"/>
      <c r="E22" s="31">
        <f>H6*2*70%*2*137.35*0.38</f>
        <v>13152.635999999999</v>
      </c>
    </row>
    <row r="23" spans="2:5" ht="12" customHeight="1">
      <c r="B23" s="43" t="s">
        <v>33</v>
      </c>
      <c r="C23" s="43"/>
      <c r="D23" s="43"/>
      <c r="E23" s="31">
        <f>H6*70%*2*137.35*0.38</f>
        <v>6576.317999999999</v>
      </c>
    </row>
    <row r="24" spans="2:5" ht="12" customHeight="1">
      <c r="B24" s="43" t="s">
        <v>36</v>
      </c>
      <c r="C24" s="43"/>
      <c r="D24" s="43"/>
      <c r="E24" s="17">
        <f>68.68*10</f>
        <v>686.8000000000001</v>
      </c>
    </row>
    <row r="25" spans="2:5" ht="12" customHeight="1">
      <c r="B25" s="43" t="s">
        <v>3</v>
      </c>
      <c r="C25" s="43"/>
      <c r="D25" s="43"/>
      <c r="E25" s="17">
        <f>68.68*21</f>
        <v>1442.2800000000002</v>
      </c>
    </row>
    <row r="26" spans="2:5" ht="12" customHeight="1">
      <c r="B26" s="43" t="s">
        <v>34</v>
      </c>
      <c r="C26" s="43"/>
      <c r="D26" s="43"/>
      <c r="E26" s="17">
        <f>68.68*18</f>
        <v>1236.2400000000002</v>
      </c>
    </row>
    <row r="27" spans="2:5" s="41" customFormat="1" ht="12" customHeight="1">
      <c r="B27" s="44" t="s">
        <v>47</v>
      </c>
      <c r="C27" s="44"/>
      <c r="D27" s="44"/>
      <c r="E27" s="34">
        <f>112.6*11</f>
        <v>1238.6</v>
      </c>
    </row>
    <row r="28" spans="2:5" s="41" customFormat="1" ht="15">
      <c r="B28" s="44" t="s">
        <v>64</v>
      </c>
      <c r="C28" s="44"/>
      <c r="D28" s="44"/>
      <c r="E28" s="36">
        <f>50.89*20</f>
        <v>1017.8</v>
      </c>
    </row>
    <row r="29" spans="2:5" s="41" customFormat="1" ht="12" customHeight="1">
      <c r="B29" s="44" t="s">
        <v>63</v>
      </c>
      <c r="C29" s="44"/>
      <c r="D29" s="44"/>
      <c r="E29" s="36">
        <f>2*'[2]на июль 15г'!$J$940+2*'[1]на июль 15г'!$J$290</f>
        <v>2312.0809629448495</v>
      </c>
    </row>
    <row r="30" spans="2:5" s="41" customFormat="1" ht="12" customHeight="1">
      <c r="B30" s="44" t="s">
        <v>66</v>
      </c>
      <c r="C30" s="46"/>
      <c r="D30" s="46"/>
      <c r="E30" s="36">
        <f>1*'[1]на июль 15г'!$J$333</f>
        <v>955.6761932821831</v>
      </c>
    </row>
    <row r="31" spans="2:5" s="41" customFormat="1" ht="12" customHeight="1">
      <c r="B31" s="44" t="s">
        <v>58</v>
      </c>
      <c r="C31" s="44"/>
      <c r="D31" s="44"/>
      <c r="E31" s="36">
        <f>1*'[1]на июль 15г'!$J$277</f>
        <v>835.5001207362125</v>
      </c>
    </row>
    <row r="32" spans="2:5" s="41" customFormat="1" ht="12.75" customHeight="1">
      <c r="B32" s="44" t="s">
        <v>46</v>
      </c>
      <c r="C32" s="44"/>
      <c r="D32" s="44"/>
      <c r="E32" s="35">
        <f>4*'[4]на июль 15г'!$J$1057</f>
        <v>457.93192319025405</v>
      </c>
    </row>
    <row r="33" spans="2:5" s="41" customFormat="1" ht="14.25" customHeight="1">
      <c r="B33" s="44" t="s">
        <v>65</v>
      </c>
      <c r="C33" s="44"/>
      <c r="D33" s="44"/>
      <c r="E33" s="35">
        <f>11*'[1]на июль 15г'!$J$198</f>
        <v>1809.5884867226791</v>
      </c>
    </row>
    <row r="34" spans="2:5" s="41" customFormat="1" ht="12" customHeight="1">
      <c r="B34" s="44" t="s">
        <v>38</v>
      </c>
      <c r="C34" s="44"/>
      <c r="D34" s="44"/>
      <c r="E34" s="36">
        <f>3*'[1]на июль 15г'!$J$323</f>
        <v>299.92648447531417</v>
      </c>
    </row>
    <row r="35" spans="2:5" s="41" customFormat="1" ht="14.25" customHeight="1">
      <c r="B35" s="44" t="s">
        <v>57</v>
      </c>
      <c r="C35" s="44"/>
      <c r="D35" s="44"/>
      <c r="E35" s="35">
        <f>37*'[1]на июль 15г'!$J$211</f>
        <v>2131.5711665971553</v>
      </c>
    </row>
    <row r="36" spans="2:5" s="41" customFormat="1" ht="14.25" customHeight="1">
      <c r="B36" s="44" t="s">
        <v>5</v>
      </c>
      <c r="C36" s="44"/>
      <c r="D36" s="44"/>
      <c r="E36" s="35">
        <f>83*'[1]на июль 15г'!$J$211</f>
        <v>4781.632616961187</v>
      </c>
    </row>
    <row r="37" spans="2:5" s="41" customFormat="1" ht="12" customHeight="1">
      <c r="B37" s="44" t="s">
        <v>4</v>
      </c>
      <c r="C37" s="44"/>
      <c r="D37" s="44"/>
      <c r="E37" s="36">
        <f>3*'[1]на июль 15г'!$J$264</f>
        <v>212.6829652871575</v>
      </c>
    </row>
    <row r="38" spans="2:5" s="32" customFormat="1" ht="12" customHeight="1">
      <c r="B38" s="44" t="s">
        <v>39</v>
      </c>
      <c r="C38" s="46"/>
      <c r="D38" s="46"/>
      <c r="E38" s="36">
        <f>2*('[1]на июль 15г'!$J$677+'[1]на июль 15г'!$J$677)</f>
        <v>3146.4523772218363</v>
      </c>
    </row>
    <row r="39" spans="2:6" s="19" customFormat="1" ht="12" customHeight="1">
      <c r="B39" s="44" t="s">
        <v>17</v>
      </c>
      <c r="C39" s="46"/>
      <c r="D39" s="46"/>
      <c r="E39" s="39">
        <f>3*'[1]на июль 15г'!$J$434</f>
        <v>1837.091766792827</v>
      </c>
      <c r="F39" s="21"/>
    </row>
    <row r="40" spans="2:6" s="20" customFormat="1" ht="12" customHeight="1">
      <c r="B40" s="44" t="s">
        <v>8</v>
      </c>
      <c r="C40" s="44"/>
      <c r="D40" s="44"/>
      <c r="E40" s="36">
        <f>10*'[1]на июль 15г'!$J$444</f>
        <v>6846.15821482499</v>
      </c>
      <c r="F40" s="21"/>
    </row>
    <row r="41" spans="2:5" s="32" customFormat="1" ht="12" customHeight="1">
      <c r="B41" s="44" t="s">
        <v>16</v>
      </c>
      <c r="C41" s="46"/>
      <c r="D41" s="46"/>
      <c r="E41" s="36">
        <f>8*'[1]на июль 15г'!$J$484</f>
        <v>10433.283070739453</v>
      </c>
    </row>
    <row r="42" spans="2:6" s="18" customFormat="1" ht="12" customHeight="1">
      <c r="B42" s="44" t="s">
        <v>2</v>
      </c>
      <c r="C42" s="44"/>
      <c r="D42" s="44"/>
      <c r="E42" s="36">
        <f>'[1]на июль 15г'!$J$915</f>
        <v>467.02159089779934</v>
      </c>
      <c r="F42" s="30"/>
    </row>
    <row r="43" spans="2:6" s="20" customFormat="1" ht="14.25" customHeight="1">
      <c r="B43" s="44" t="s">
        <v>45</v>
      </c>
      <c r="C43" s="44"/>
      <c r="D43" s="44"/>
      <c r="E43" s="36">
        <f>6.5*'[1]на июль 15г'!$J$565</f>
        <v>3305.802593175149</v>
      </c>
      <c r="F43" s="21"/>
    </row>
    <row r="44" spans="2:6" s="20" customFormat="1" ht="12" customHeight="1">
      <c r="B44" s="44" t="s">
        <v>44</v>
      </c>
      <c r="C44" s="44"/>
      <c r="D44" s="44"/>
      <c r="E44" s="36">
        <f>6.5*'[1]на июль 15г'!$J$535</f>
        <v>2578.6767753551367</v>
      </c>
      <c r="F44" s="21"/>
    </row>
    <row r="45" spans="2:5" s="22" customFormat="1" ht="14.25" customHeight="1">
      <c r="B45" s="44" t="s">
        <v>7</v>
      </c>
      <c r="C45" s="44"/>
      <c r="D45" s="44"/>
      <c r="E45" s="34">
        <f>635.88+1890.86+1823.57</f>
        <v>4350.3099999999995</v>
      </c>
    </row>
    <row r="46" spans="2:5" s="11" customFormat="1" ht="12" customHeight="1">
      <c r="B46" s="44" t="s">
        <v>59</v>
      </c>
      <c r="C46" s="44"/>
      <c r="D46" s="44"/>
      <c r="E46" s="34">
        <v>54200.42</v>
      </c>
    </row>
    <row r="47" spans="2:5" s="13" customFormat="1" ht="12" customHeight="1">
      <c r="B47" s="44" t="s">
        <v>61</v>
      </c>
      <c r="C47" s="44"/>
      <c r="D47" s="44"/>
      <c r="E47" s="34">
        <f>109914.55+69967.46+69967.46</f>
        <v>249849.47000000003</v>
      </c>
    </row>
    <row r="48" spans="2:5" s="23" customFormat="1" ht="12" customHeight="1">
      <c r="B48" s="44" t="s">
        <v>48</v>
      </c>
      <c r="C48" s="46"/>
      <c r="D48" s="46"/>
      <c r="E48" s="34">
        <v>1491.71</v>
      </c>
    </row>
    <row r="49" spans="2:5" s="24" customFormat="1" ht="12" customHeight="1">
      <c r="B49" s="44" t="s">
        <v>9</v>
      </c>
      <c r="C49" s="46"/>
      <c r="D49" s="46"/>
      <c r="E49" s="34">
        <v>735.57</v>
      </c>
    </row>
    <row r="50" spans="2:5" s="13" customFormat="1" ht="13.5" customHeight="1">
      <c r="B50" s="44" t="s">
        <v>49</v>
      </c>
      <c r="C50" s="46"/>
      <c r="D50" s="46"/>
      <c r="E50" s="35">
        <v>2363</v>
      </c>
    </row>
    <row r="51" spans="2:5" s="25" customFormat="1" ht="13.5" customHeight="1">
      <c r="B51" s="44" t="s">
        <v>41</v>
      </c>
      <c r="C51" s="46"/>
      <c r="D51" s="46"/>
      <c r="E51" s="34">
        <f>6456.52</f>
        <v>6456.52</v>
      </c>
    </row>
    <row r="52" spans="2:5" s="29" customFormat="1" ht="12" customHeight="1">
      <c r="B52" s="44" t="s">
        <v>62</v>
      </c>
      <c r="C52" s="44"/>
      <c r="D52" s="44"/>
      <c r="E52" s="35">
        <v>744</v>
      </c>
    </row>
    <row r="53" spans="2:5" s="25" customFormat="1" ht="14.25" customHeight="1">
      <c r="B53" s="44" t="s">
        <v>50</v>
      </c>
      <c r="C53" s="44"/>
      <c r="D53" s="44"/>
      <c r="E53" s="34">
        <v>1461.75</v>
      </c>
    </row>
    <row r="54" spans="2:5" ht="12" customHeight="1">
      <c r="B54" s="44" t="s">
        <v>42</v>
      </c>
      <c r="C54" s="44"/>
      <c r="D54" s="44"/>
      <c r="E54" s="39">
        <v>4179.38</v>
      </c>
    </row>
    <row r="55" spans="2:5" s="26" customFormat="1" ht="12" customHeight="1">
      <c r="B55" s="44" t="s">
        <v>60</v>
      </c>
      <c r="C55" s="44"/>
      <c r="D55" s="44"/>
      <c r="E55" s="39">
        <v>2617.33</v>
      </c>
    </row>
    <row r="56" spans="2:5" ht="12" customHeight="1">
      <c r="B56" s="3"/>
      <c r="C56" s="3"/>
      <c r="D56" s="3"/>
      <c r="E56" s="16">
        <f>SUM(E5:E55)</f>
        <v>1067948.1733472045</v>
      </c>
    </row>
    <row r="57" spans="3:5" ht="12" customHeight="1">
      <c r="C57" s="12" t="s">
        <v>40</v>
      </c>
      <c r="D57" s="56">
        <f>'[3]Лист1'!$B$71</f>
        <v>851777.3999999999</v>
      </c>
      <c r="E57" s="55"/>
    </row>
    <row r="58" spans="3:5" ht="12" customHeight="1">
      <c r="C58" s="2" t="s">
        <v>6</v>
      </c>
      <c r="D58" s="54">
        <f>'[3]Лист1'!$C$71</f>
        <v>840630.2999999999</v>
      </c>
      <c r="E58" s="55"/>
    </row>
    <row r="59" spans="3:6" ht="12" customHeight="1">
      <c r="C59" s="12" t="s">
        <v>51</v>
      </c>
      <c r="D59" s="9"/>
      <c r="E59" s="40">
        <f>E56</f>
        <v>1067948.1733472045</v>
      </c>
      <c r="F59" s="10"/>
    </row>
  </sheetData>
  <sheetProtection password="CCF3" sheet="1" objects="1" scenarios="1" selectLockedCells="1" selectUnlockedCells="1"/>
  <mergeCells count="57">
    <mergeCell ref="D58:E58"/>
    <mergeCell ref="D57:E57"/>
    <mergeCell ref="E16:E17"/>
    <mergeCell ref="B27:D27"/>
    <mergeCell ref="B32:D32"/>
    <mergeCell ref="B4:E4"/>
    <mergeCell ref="B15:D15"/>
    <mergeCell ref="B10:D10"/>
    <mergeCell ref="B3:D3"/>
    <mergeCell ref="B52:D52"/>
    <mergeCell ref="B55:D55"/>
    <mergeCell ref="B48:D48"/>
    <mergeCell ref="B16:D17"/>
    <mergeCell ref="E18:E19"/>
    <mergeCell ref="B7:D7"/>
    <mergeCell ref="B49:D49"/>
    <mergeCell ref="B5:D5"/>
    <mergeCell ref="B6:D6"/>
    <mergeCell ref="B28:D28"/>
    <mergeCell ref="B39:D39"/>
    <mergeCell ref="B42:D42"/>
    <mergeCell ref="B8:D8"/>
    <mergeCell ref="B22:D22"/>
    <mergeCell ref="B23:D23"/>
    <mergeCell ref="B9:D9"/>
    <mergeCell ref="B13:D13"/>
    <mergeCell ref="B14:D14"/>
    <mergeCell ref="B18:D19"/>
    <mergeCell ref="B21:D21"/>
    <mergeCell ref="B11:D11"/>
    <mergeCell ref="B12:D12"/>
    <mergeCell ref="B37:D37"/>
    <mergeCell ref="B43:D43"/>
    <mergeCell ref="B30:D30"/>
    <mergeCell ref="B33:D33"/>
    <mergeCell ref="B24:D24"/>
    <mergeCell ref="B25:D25"/>
    <mergeCell ref="B41:D41"/>
    <mergeCell ref="B54:D54"/>
    <mergeCell ref="B46:D46"/>
    <mergeCell ref="B38:D38"/>
    <mergeCell ref="B26:D26"/>
    <mergeCell ref="B44:D44"/>
    <mergeCell ref="B31:D31"/>
    <mergeCell ref="B36:D36"/>
    <mergeCell ref="B29:D29"/>
    <mergeCell ref="B35:D35"/>
    <mergeCell ref="H3:L3"/>
    <mergeCell ref="B20:D20"/>
    <mergeCell ref="B53:D53"/>
    <mergeCell ref="B34:D34"/>
    <mergeCell ref="A1:E1"/>
    <mergeCell ref="B40:D40"/>
    <mergeCell ref="B51:D51"/>
    <mergeCell ref="B45:D45"/>
    <mergeCell ref="B47:D47"/>
    <mergeCell ref="B50:D50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2020-03-27T03:12:58Z</dcterms:modified>
  <cp:category/>
  <cp:version/>
  <cp:contentType/>
  <cp:contentStatus/>
</cp:coreProperties>
</file>