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<sst xmlns="http://schemas.openxmlformats.org/spreadsheetml/2006/main" count="331" uniqueCount="127">
  <si>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</si>
  <si>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</si>
  <si>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</si>
  <si>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</si>
  <si>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внутриквартийных устройств центрального отопления</t>
  </si>
  <si>
    <t>Осмотр водопровода, канализации и горячего водоснабжения в квартирах</t>
  </si>
  <si>
    <t>Осмотр линий электрических сетей, арматуры и электрооборудования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</si>
  <si>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</si>
  <si>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</si>
  <si>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</si>
  <si>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</si>
  <si>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Итого затрачено по дому (+ 18% НДС)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</si>
  <si>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</si>
  <si>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</si>
  <si>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</si>
  <si>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</si>
  <si>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</si>
  <si>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</si>
  <si>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</si>
  <si>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</si>
  <si>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</si>
  <si>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</si>
  <si>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</si>
  <si>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</si>
  <si>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</si>
  <si>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</si>
  <si>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</si>
  <si>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</si>
  <si>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</si>
  <si>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</si>
  <si>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</si>
  <si>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</si>
  <si>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</si>
  <si>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</si>
  <si>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квартир</t>
  </si>
  <si>
    <t>общ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</si>
  <si>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</si>
  <si>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</si>
  <si>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</si>
  <si>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</si>
  <si>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</si>
  <si>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</si>
  <si>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</si>
  <si>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</si>
  <si>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>Осмотр инженерного оборудования, отопления, водопровода, канализации и горячего водоснабжения в подвале</t>
  </si>
  <si>
    <t>Поверка общедомовых приборов учета ТУ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</si>
  <si>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</si>
  <si>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</si>
  <si>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</si>
  <si>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</si>
  <si>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</si>
  <si>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</si>
  <si>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</si>
  <si>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сборки диаметром 32 мм</t>
  </si>
  <si>
    <t xml:space="preserve">Адрес дома: ЛЕНИНА ПР., 75а </t>
  </si>
  <si>
    <t xml:space="preserve">Адрес дома: ЛЕНИНА ПР., 77а </t>
  </si>
  <si>
    <t>Адрес дома: ЛЕНИНА ПР., 77б</t>
  </si>
  <si>
    <t xml:space="preserve">Адрес дома: ЛЕНИНА ПР., 77г </t>
  </si>
  <si>
    <t>Адрес дома: ЛЕНИНА ПР., 81а</t>
  </si>
  <si>
    <t>Адрес дома: ЛЕНИНА ПР., 87</t>
  </si>
  <si>
    <t>Отчет о работах, выполненных за период с Января 2018 г. по Декабрь 2018 г.</t>
  </si>
  <si>
    <t>Ремонт балконной плиты кв49</t>
  </si>
  <si>
    <t>Утепление м/п швов кв 73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</si>
  <si>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</si>
  <si>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</si>
  <si>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</si>
  <si>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</si>
  <si>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</si>
  <si>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</si>
  <si>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</si>
  <si>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</si>
  <si>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</si>
  <si>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</si>
  <si>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</si>
  <si>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</si>
  <si>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</si>
  <si>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</si>
  <si>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</si>
  <si>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</si>
  <si>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Поверка общедомовых приборов учета ТУ, замена датчиков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</si>
  <si>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</si>
  <si>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</si>
  <si>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</si>
  <si>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Замена фотореле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</si>
  <si>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</si>
  <si>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</si>
  <si>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</si>
  <si>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</si>
  <si>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</si>
  <si>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</si>
  <si>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</si>
  <si>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</si>
  <si>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</t>
  </si>
  <si>
    <t xml:space="preserve">Начислено по дому </t>
  </si>
  <si>
    <t>Установка фильтра диаметром 50мм</t>
  </si>
  <si>
    <t>Замена отметов</t>
  </si>
  <si>
    <t>Ремонт лавовчек и скребков</t>
  </si>
  <si>
    <t xml:space="preserve">Ремонт лавовчек </t>
  </si>
  <si>
    <t>Ремонт подъездных козырьков (рихтование)</t>
  </si>
  <si>
    <t>Ремонт отдельных мест покрытия из асбоцементных листов: обыкновенного профиля</t>
  </si>
  <si>
    <t>Установка поручня у подъезда</t>
  </si>
  <si>
    <t>Смена покрытия кровли средней сложности из листовой стали: без настенных желобов и свесов</t>
  </si>
  <si>
    <t>Валка деревьев</t>
  </si>
  <si>
    <t>Ремонт м/п швов</t>
  </si>
  <si>
    <t>Ремонт детский площадок</t>
  </si>
  <si>
    <t xml:space="preserve">Ремонт лавочек </t>
  </si>
  <si>
    <t>Установка лавочек (без мат)</t>
  </si>
  <si>
    <t xml:space="preserve">Частичный ремонт стен в подъезде </t>
  </si>
  <si>
    <t>Ремонт крылеца</t>
  </si>
  <si>
    <t>Восстоновление ограждения</t>
  </si>
  <si>
    <t>Гидроизоляция мастикой м/п швов</t>
  </si>
  <si>
    <t>Изготовление и монтаж дверей (электрощитовая)</t>
  </si>
  <si>
    <t>Ремонт скребков</t>
  </si>
  <si>
    <t>Ремонт крылец</t>
  </si>
  <si>
    <t xml:space="preserve">Ремонт м/п швов </t>
  </si>
  <si>
    <t>Установка почтовых ящиков</t>
  </si>
  <si>
    <t>Смена отдельных частей металлического ограждения спортивных площадок: сетки</t>
  </si>
  <si>
    <t>Ремонт водостоков</t>
  </si>
  <si>
    <t>Замена прямого звена водосточной трубы</t>
  </si>
  <si>
    <t xml:space="preserve">Ремонт и покраска стен у входов в подъезд </t>
  </si>
  <si>
    <t xml:space="preserve">Начислено по дому: 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</si>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</sst>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0" fontId="28" fillId="0" borderId="11" xfId="42" applyNumberFormat="1" applyBorder="1" applyAlignment="1" quotePrefix="1">
      <alignment horizontal="right" vertical="center" wrapText="1"/>
      <protection/>
    </xf>
    <xf numFmtId="2" fontId="0" fillId="0" borderId="0" xfId="0" applyNumberFormat="1" applyAlignment="1">
      <alignment wrapText="1"/>
    </xf>
    <xf numFmtId="2" fontId="28" fillId="0" borderId="11" xfId="42" applyNumberFormat="1" applyBorder="1" applyAlignment="1" quotePrefix="1">
      <alignment horizontal="right" vertical="center" wrapText="1"/>
      <protection/>
    </xf>
    <xf numFmtId="2" fontId="0" fillId="0" borderId="12" xfId="0" applyNumberFormat="1" applyBorder="1" applyAlignment="1">
      <alignment wrapText="1"/>
    </xf>
    <xf numFmtId="4" fontId="28" fillId="35" borderId="13" xfId="42" applyNumberFormat="1" applyFill="1" applyBorder="1" applyAlignment="1" quotePrefix="1">
      <alignment horizontal="right" vertical="center" wrapText="1"/>
      <protection/>
    </xf>
    <xf numFmtId="4" fontId="27" fillId="0" borderId="12" xfId="39" applyNumberFormat="1" applyBorder="1" applyAlignment="1" quotePrefix="1">
      <alignment vertical="top" wrapText="1"/>
      <protection/>
    </xf>
    <xf numFmtId="4" fontId="27" fillId="0" borderId="0" xfId="39" applyNumberFormat="1" applyBorder="1" applyAlignment="1" quotePrefix="1">
      <alignment vertical="top" wrapText="1"/>
      <protection/>
    </xf>
    <xf numFmtId="0" fontId="28" fillId="0" borderId="14" xfId="42" applyNumberFormat="1" applyBorder="1" applyAlignment="1" quotePrefix="1">
      <alignment horizontal="right" vertical="center" wrapText="1"/>
      <protection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0" fontId="28" fillId="35" borderId="11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Border="1" applyAlignment="1">
      <alignment wrapText="1"/>
    </xf>
    <xf numFmtId="0" fontId="27" fillId="0" borderId="0" xfId="45" applyAlignment="1" quotePrefix="1">
      <alignment horizontal="right" vertical="top" wrapText="1"/>
      <protection/>
    </xf>
    <xf numFmtId="0" fontId="28" fillId="0" borderId="15" xfId="42" applyNumberFormat="1" applyBorder="1" applyAlignment="1" quotePrefix="1">
      <alignment horizontal="right" vertical="center" wrapText="1"/>
      <protection/>
    </xf>
    <xf numFmtId="4" fontId="25" fillId="0" borderId="0" xfId="0" applyNumberFormat="1" applyFont="1" applyAlignment="1">
      <alignment wrapText="1"/>
    </xf>
    <xf numFmtId="4" fontId="28" fillId="0" borderId="13" xfId="42" applyNumberFormat="1" applyBorder="1" applyAlignment="1" quotePrefix="1">
      <alignment horizontal="right" vertical="center" wrapText="1"/>
      <protection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28" fillId="35" borderId="13" xfId="42" applyNumberFormat="1" applyFill="1" applyBorder="1" applyAlignment="1" quotePrefix="1">
      <alignment horizontal="right" vertical="center" wrapText="1"/>
      <protection/>
    </xf>
    <xf numFmtId="0" fontId="0" fillId="0" borderId="0" xfId="0" applyFont="1" applyAlignment="1">
      <alignment wrapText="1"/>
    </xf>
    <xf numFmtId="0" fontId="28" fillId="0" borderId="11" xfId="42" applyNumberFormat="1" applyFont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49" fillId="0" borderId="13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28" fillId="0" borderId="13" xfId="42" applyNumberFormat="1" applyBorder="1" applyAlignment="1" quotePrefix="1">
      <alignment horizontal="right" vertical="center" wrapText="1"/>
      <protection/>
    </xf>
    <xf numFmtId="4" fontId="28" fillId="35" borderId="13" xfId="42" applyNumberFormat="1" applyFill="1" applyBorder="1" applyAlignment="1" quotePrefix="1">
      <alignment horizontal="right" vertical="center" wrapText="1"/>
      <protection/>
    </xf>
    <xf numFmtId="2" fontId="28" fillId="0" borderId="13" xfId="42" applyNumberFormat="1" applyBorder="1" applyAlignment="1" quotePrefix="1">
      <alignment horizontal="right" vertical="center" wrapText="1"/>
      <protection/>
    </xf>
    <xf numFmtId="2" fontId="28" fillId="35" borderId="13" xfId="42" applyNumberFormat="1" applyFill="1" applyBorder="1" applyAlignment="1" quotePrefix="1">
      <alignment horizontal="right" vertical="center" wrapText="1"/>
      <protection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2" fontId="25" fillId="0" borderId="0" xfId="0" applyNumberFormat="1" applyFont="1" applyBorder="1" applyAlignment="1">
      <alignment wrapText="1"/>
    </xf>
    <xf numFmtId="0" fontId="28" fillId="0" borderId="13" xfId="42" applyNumberFormat="1" applyBorder="1" applyAlignment="1" quotePrefix="1">
      <alignment horizontal="right" vertical="center" wrapText="1"/>
      <protection/>
    </xf>
    <xf numFmtId="0" fontId="28" fillId="35" borderId="13" xfId="42" applyNumberFormat="1" applyFill="1" applyBorder="1" applyAlignment="1" quotePrefix="1">
      <alignment horizontal="right" vertical="center" wrapText="1"/>
      <protection/>
    </xf>
    <xf numFmtId="0" fontId="47" fillId="36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wrapText="1"/>
    </xf>
    <xf numFmtId="0" fontId="28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28" fillId="0" borderId="11" xfId="43" applyBorder="1" applyAlignment="1" quotePrefix="1">
      <alignment horizontal="left" vertical="top" wrapText="1"/>
      <protection/>
    </xf>
    <xf numFmtId="0" fontId="0" fillId="0" borderId="16" xfId="0" applyBorder="1" applyAlignment="1">
      <alignment wrapText="1"/>
    </xf>
    <xf numFmtId="0" fontId="28" fillId="0" borderId="16" xfId="43" applyBorder="1" applyAlignment="1" quotePrefix="1">
      <alignment horizontal="left" vertical="top" wrapText="1"/>
      <protection/>
    </xf>
    <xf numFmtId="0" fontId="28" fillId="0" borderId="13" xfId="43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28" fillId="0" borderId="17" xfId="43" applyBorder="1" applyAlignment="1" quotePrefix="1">
      <alignment horizontal="left" vertical="top" wrapText="1"/>
      <protection/>
    </xf>
    <xf numFmtId="0" fontId="28" fillId="0" borderId="18" xfId="43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28" fillId="35" borderId="17" xfId="43" applyFill="1" applyBorder="1" applyAlignment="1" quotePrefix="1">
      <alignment horizontal="left" vertical="top" wrapText="1"/>
      <protection/>
    </xf>
    <xf numFmtId="0" fontId="0" fillId="35" borderId="18" xfId="0" applyFill="1" applyBorder="1" applyAlignment="1">
      <alignment wrapText="1"/>
    </xf>
    <xf numFmtId="0" fontId="28" fillId="0" borderId="19" xfId="43" applyBorder="1" applyAlignment="1" quotePrefix="1">
      <alignment horizontal="left" vertical="top" wrapText="1"/>
      <protection/>
    </xf>
    <xf numFmtId="0" fontId="27" fillId="21" borderId="19" xfId="41" applyBorder="1" applyAlignment="1" quotePrefix="1">
      <alignment horizontal="center" vertical="center" wrapText="1"/>
      <protection/>
    </xf>
    <xf numFmtId="0" fontId="28" fillId="20" borderId="19" xfId="40" applyBorder="1" applyAlignment="1" quotePrefix="1">
      <alignment horizontal="left" vertical="center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21" xfId="43" applyBorder="1" applyAlignment="1" quotePrefix="1">
      <alignment horizontal="left" vertical="top" wrapText="1"/>
      <protection/>
    </xf>
    <xf numFmtId="0" fontId="28" fillId="0" borderId="22" xfId="43" applyBorder="1" applyAlignment="1" quotePrefix="1">
      <alignment horizontal="left" vertical="top" wrapText="1"/>
      <protection/>
    </xf>
    <xf numFmtId="0" fontId="28" fillId="0" borderId="23" xfId="43" applyBorder="1" applyAlignment="1" quotePrefix="1">
      <alignment horizontal="left" vertical="top" wrapText="1"/>
      <protection/>
    </xf>
    <xf numFmtId="0" fontId="28" fillId="20" borderId="11" xfId="40" applyBorder="1" applyAlignment="1" quotePrefix="1">
      <alignment horizontal="left" vertical="center" wrapText="1"/>
      <protection/>
    </xf>
    <xf numFmtId="0" fontId="27" fillId="0" borderId="12" xfId="34" applyBorder="1" applyAlignment="1" quotePrefix="1">
      <alignment horizontal="left" vertical="center" wrapText="1"/>
      <protection/>
    </xf>
    <xf numFmtId="0" fontId="26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27" fillId="21" borderId="11" xfId="41" applyBorder="1" applyAlignment="1" quotePrefix="1">
      <alignment horizontal="center" vertical="center" wrapText="1"/>
      <protection/>
    </xf>
    <xf numFmtId="4" fontId="27" fillId="0" borderId="24" xfId="46" applyNumberFormat="1" applyBorder="1" applyAlignment="1" quotePrefix="1">
      <alignment horizontal="right" vertical="top" wrapText="1"/>
      <protection/>
    </xf>
    <xf numFmtId="0" fontId="0" fillId="0" borderId="24" xfId="0" applyBorder="1" applyAlignment="1">
      <alignment wrapText="1"/>
    </xf>
    <xf numFmtId="4" fontId="27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8" fillId="20" borderId="25" xfId="40" applyBorder="1" applyAlignment="1" quotePrefix="1">
      <alignment horizontal="left" vertical="center" wrapText="1"/>
      <protection/>
    </xf>
    <xf numFmtId="0" fontId="28" fillId="0" borderId="13" xfId="37" applyBorder="1" applyAlignment="1" quotePrefix="1">
      <alignment horizontal="left" vertical="top" wrapText="1"/>
      <protection/>
    </xf>
    <xf numFmtId="4" fontId="28" fillId="0" borderId="13" xfId="42" applyNumberFormat="1" applyBorder="1" applyAlignment="1" quotePrefix="1">
      <alignment horizontal="right" vertical="center" wrapText="1"/>
      <protection/>
    </xf>
    <xf numFmtId="0" fontId="28" fillId="0" borderId="26" xfId="37" applyBorder="1" applyAlignment="1" quotePrefix="1">
      <alignment horizontal="left" vertical="top" wrapText="1"/>
      <protection/>
    </xf>
    <xf numFmtId="0" fontId="28" fillId="0" borderId="27" xfId="37" applyBorder="1" applyAlignment="1" quotePrefix="1">
      <alignment horizontal="left" vertical="top" wrapText="1"/>
      <protection/>
    </xf>
    <xf numFmtId="0" fontId="28" fillId="0" borderId="11" xfId="43" applyFont="1" applyBorder="1" applyAlignment="1" quotePrefix="1">
      <alignment horizontal="left" vertical="top" wrapText="1"/>
      <protection/>
    </xf>
    <xf numFmtId="0" fontId="0" fillId="0" borderId="16" xfId="0" applyFont="1" applyBorder="1" applyAlignment="1">
      <alignment wrapText="1"/>
    </xf>
    <xf numFmtId="0" fontId="28" fillId="0" borderId="25" xfId="37" applyBorder="1" applyAlignment="1" quotePrefix="1">
      <alignment horizontal="left" vertical="top" wrapText="1"/>
      <protection/>
    </xf>
    <xf numFmtId="4" fontId="27" fillId="0" borderId="0" xfId="46" applyNumberFormat="1" applyAlignment="1" quotePrefix="1">
      <alignment horizontal="right" vertical="top" wrapText="1"/>
      <protection/>
    </xf>
    <xf numFmtId="0" fontId="0" fillId="36" borderId="13" xfId="0" applyFill="1" applyBorder="1" applyAlignment="1">
      <alignment horizontal="center" wrapText="1"/>
    </xf>
    <xf numFmtId="0" fontId="28" fillId="0" borderId="16" xfId="43" applyFont="1" applyBorder="1" applyAlignment="1" quotePrefix="1">
      <alignment horizontal="left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46">
          <cell r="D46">
            <v>1058636.46</v>
          </cell>
          <cell r="E46">
            <v>1058132.2100000002</v>
          </cell>
        </row>
        <row r="47">
          <cell r="D47">
            <v>748956.8200000001</v>
          </cell>
          <cell r="E47">
            <v>798735.2600000001</v>
          </cell>
        </row>
        <row r="48">
          <cell r="D48">
            <v>804525.8800000001</v>
          </cell>
          <cell r="E48">
            <v>800798.7299999999</v>
          </cell>
        </row>
        <row r="49">
          <cell r="D49">
            <v>820010.4999999999</v>
          </cell>
          <cell r="E49">
            <v>831959.18</v>
          </cell>
        </row>
        <row r="50">
          <cell r="D50">
            <v>624405.72</v>
          </cell>
          <cell r="E50">
            <v>620767.53</v>
          </cell>
        </row>
        <row r="51">
          <cell r="D51">
            <v>468564.7299999999</v>
          </cell>
          <cell r="E51">
            <v>473441.14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="115" zoomScaleNormal="115" zoomScalePageLayoutView="0" workbookViewId="0" topLeftCell="A25">
      <selection activeCell="B32" sqref="B32:D32"/>
    </sheetView>
  </sheetViews>
  <sheetFormatPr defaultColWidth="9.140625" defaultRowHeight="15"/>
  <cols>
    <col min="1" max="1" width="2.140625" style="20" customWidth="1"/>
    <col min="2" max="2" width="6.8515625" style="20" customWidth="1"/>
    <col min="3" max="3" width="35.00390625" style="20" customWidth="1"/>
    <col min="4" max="4" width="33.00390625" style="20" customWidth="1"/>
    <col min="5" max="5" width="16.7109375" style="20" customWidth="1"/>
    <col min="6" max="6" width="2.140625" style="20" customWidth="1"/>
    <col min="7" max="7" width="3.7109375" style="20" customWidth="1"/>
    <col min="8" max="9" width="11.57421875" style="20" bestFit="1" customWidth="1"/>
    <col min="10" max="16384" width="9.140625" style="20" customWidth="1"/>
  </cols>
  <sheetData>
    <row r="1" spans="1:7" s="22" customFormat="1" ht="24" customHeight="1">
      <c r="A1" s="70" t="s">
        <v>60</v>
      </c>
      <c r="B1" s="71"/>
      <c r="C1" s="71"/>
      <c r="D1" s="71"/>
      <c r="E1" s="71"/>
      <c r="F1" s="71"/>
      <c r="G1" s="71"/>
    </row>
    <row r="2" spans="2:5" ht="12" customHeight="1">
      <c r="B2" s="69" t="s">
        <v>0</v>
      </c>
      <c r="C2" s="69"/>
      <c r="D2" s="69"/>
      <c r="E2" s="4"/>
    </row>
    <row r="3" spans="2:12" ht="21" customHeight="1">
      <c r="B3" s="62" t="s">
        <v>1</v>
      </c>
      <c r="C3" s="52"/>
      <c r="D3" s="52"/>
      <c r="E3" s="47" t="s">
        <v>122</v>
      </c>
      <c r="H3" s="86" t="s">
        <v>123</v>
      </c>
      <c r="I3" s="86"/>
      <c r="J3" s="86"/>
      <c r="K3" s="86"/>
      <c r="L3" s="86"/>
    </row>
    <row r="4" spans="2:12" ht="15" customHeight="1" thickBot="1">
      <c r="B4" s="77" t="s">
        <v>54</v>
      </c>
      <c r="C4" s="74"/>
      <c r="D4" s="74"/>
      <c r="E4" s="74"/>
      <c r="H4" s="48" t="s">
        <v>34</v>
      </c>
      <c r="I4" s="48" t="s">
        <v>124</v>
      </c>
      <c r="J4" s="48" t="s">
        <v>52</v>
      </c>
      <c r="K4" s="48" t="s">
        <v>125</v>
      </c>
      <c r="L4" s="48" t="s">
        <v>126</v>
      </c>
    </row>
    <row r="5" spans="2:12" ht="23.25" customHeight="1" thickBot="1">
      <c r="B5" s="54" t="s">
        <v>44</v>
      </c>
      <c r="C5" s="54"/>
      <c r="D5" s="54"/>
      <c r="E5" s="33">
        <f>2.05*J5*12+J5*2*2.05+2.05*4*J5</f>
        <v>53733.78</v>
      </c>
      <c r="H5" s="1">
        <v>119</v>
      </c>
      <c r="I5" s="1">
        <v>5764.2</v>
      </c>
      <c r="J5" s="1">
        <v>1456.2</v>
      </c>
      <c r="K5" s="1">
        <f>J5</f>
        <v>1456.2</v>
      </c>
      <c r="L5" s="2">
        <v>88</v>
      </c>
    </row>
    <row r="6" spans="2:5" ht="36" customHeight="1">
      <c r="B6" s="54" t="s">
        <v>38</v>
      </c>
      <c r="C6" s="54"/>
      <c r="D6" s="54"/>
      <c r="E6" s="33">
        <f>(I5*2.05*2)</f>
        <v>23633.219999999998</v>
      </c>
    </row>
    <row r="7" spans="2:5" ht="12" customHeight="1">
      <c r="B7" s="54" t="s">
        <v>39</v>
      </c>
      <c r="C7" s="54"/>
      <c r="D7" s="54"/>
      <c r="E7" s="33">
        <f>I5*2.05*2</f>
        <v>23633.219999999998</v>
      </c>
    </row>
    <row r="8" spans="2:5" ht="12" customHeight="1" hidden="1">
      <c r="B8" s="54" t="s">
        <v>40</v>
      </c>
      <c r="C8" s="54"/>
      <c r="D8" s="54"/>
      <c r="E8" s="33"/>
    </row>
    <row r="9" spans="2:5" ht="23.25" customHeight="1">
      <c r="B9" s="54" t="s">
        <v>41</v>
      </c>
      <c r="C9" s="54"/>
      <c r="D9" s="54"/>
      <c r="E9" s="33">
        <f>(3*121.53*2*I5/1000)*3</f>
        <v>12609.418068000003</v>
      </c>
    </row>
    <row r="10" spans="2:5" ht="12" customHeight="1">
      <c r="B10" s="54" t="s">
        <v>19</v>
      </c>
      <c r="C10" s="54"/>
      <c r="D10" s="54"/>
      <c r="E10" s="33">
        <f>12*I5*0.76</f>
        <v>52569.50399999999</v>
      </c>
    </row>
    <row r="11" spans="2:5" ht="12" customHeight="1">
      <c r="B11" s="54" t="s">
        <v>21</v>
      </c>
      <c r="C11" s="54"/>
      <c r="D11" s="54"/>
      <c r="E11" s="33">
        <f>12*I5*4.53</f>
        <v>313341.912</v>
      </c>
    </row>
    <row r="12" spans="2:5" ht="12" customHeight="1">
      <c r="B12" s="54" t="s">
        <v>22</v>
      </c>
      <c r="C12" s="54"/>
      <c r="D12" s="54"/>
      <c r="E12" s="33">
        <f>1*L5*286.7*2</f>
        <v>50459.2</v>
      </c>
    </row>
    <row r="13" spans="2:5" ht="12" customHeight="1">
      <c r="B13" s="54" t="s">
        <v>20</v>
      </c>
      <c r="C13" s="54"/>
      <c r="D13" s="54"/>
      <c r="E13" s="33">
        <f>12*I5*0.54</f>
        <v>37352.015999999996</v>
      </c>
    </row>
    <row r="14" spans="2:5" ht="12" customHeight="1">
      <c r="B14" s="78" t="s">
        <v>25</v>
      </c>
      <c r="C14" s="78"/>
      <c r="D14" s="78"/>
      <c r="E14" s="33">
        <v>10000</v>
      </c>
    </row>
    <row r="15" spans="2:5" ht="6" customHeight="1">
      <c r="B15" s="54" t="s">
        <v>24</v>
      </c>
      <c r="C15" s="54"/>
      <c r="D15" s="54"/>
      <c r="E15" s="79">
        <f>12*I5*0.72</f>
        <v>49802.687999999995</v>
      </c>
    </row>
    <row r="16" spans="2:5" ht="6" customHeight="1">
      <c r="B16" s="54"/>
      <c r="C16" s="54"/>
      <c r="D16" s="54"/>
      <c r="E16" s="79"/>
    </row>
    <row r="17" spans="2:5" ht="6" customHeight="1">
      <c r="B17" s="54" t="s">
        <v>42</v>
      </c>
      <c r="C17" s="54"/>
      <c r="D17" s="54"/>
      <c r="E17" s="79">
        <f>12*I5*1.58</f>
        <v>109289.23199999999</v>
      </c>
    </row>
    <row r="18" spans="2:5" ht="6" customHeight="1">
      <c r="B18" s="54"/>
      <c r="C18" s="54"/>
      <c r="D18" s="54"/>
      <c r="E18" s="79"/>
    </row>
    <row r="19" spans="2:5" ht="12" customHeight="1">
      <c r="B19" s="54" t="s">
        <v>46</v>
      </c>
      <c r="C19" s="54"/>
      <c r="D19" s="54"/>
      <c r="E19" s="34">
        <f>I5*0.37*12</f>
        <v>25593.048</v>
      </c>
    </row>
    <row r="20" spans="2:5" ht="12" customHeight="1">
      <c r="B20" s="54" t="s">
        <v>47</v>
      </c>
      <c r="C20" s="54"/>
      <c r="D20" s="54"/>
      <c r="E20" s="34">
        <f>H5*2*70%*2*137.35*0.38</f>
        <v>17390.707599999998</v>
      </c>
    </row>
    <row r="21" spans="2:5" ht="12" customHeight="1">
      <c r="B21" s="54" t="s">
        <v>48</v>
      </c>
      <c r="C21" s="54"/>
      <c r="D21" s="54"/>
      <c r="E21" s="34">
        <f>H5*70%*2*137.35*0.38</f>
        <v>8695.353799999999</v>
      </c>
    </row>
    <row r="22" spans="2:5" ht="12" customHeight="1">
      <c r="B22" s="54" t="s">
        <v>49</v>
      </c>
      <c r="C22" s="55"/>
      <c r="D22" s="55"/>
      <c r="E22" s="45">
        <f>68.68*40</f>
        <v>2747.2000000000003</v>
      </c>
    </row>
    <row r="23" spans="2:8" ht="12" customHeight="1">
      <c r="B23" s="54" t="s">
        <v>5</v>
      </c>
      <c r="C23" s="55"/>
      <c r="D23" s="55"/>
      <c r="E23" s="45">
        <f>68.68*55</f>
        <v>3777.4000000000005</v>
      </c>
      <c r="H23" s="23"/>
    </row>
    <row r="24" spans="2:8" ht="12" customHeight="1">
      <c r="B24" s="54" t="s">
        <v>50</v>
      </c>
      <c r="C24" s="55"/>
      <c r="D24" s="55"/>
      <c r="E24" s="45">
        <f>68.68*20</f>
        <v>1373.6000000000001</v>
      </c>
      <c r="H24" s="23"/>
    </row>
    <row r="25" spans="2:5" s="23" customFormat="1" ht="12" customHeight="1">
      <c r="B25" s="54" t="s">
        <v>8</v>
      </c>
      <c r="C25" s="54"/>
      <c r="D25" s="54"/>
      <c r="E25" s="45">
        <f>61*цены!E13</f>
        <v>4888.54</v>
      </c>
    </row>
    <row r="26" spans="2:5" s="23" customFormat="1" ht="12" customHeight="1">
      <c r="B26" s="54" t="s">
        <v>63</v>
      </c>
      <c r="C26" s="55"/>
      <c r="D26" s="55"/>
      <c r="E26" s="45">
        <f>3*цены!E15</f>
        <v>423.65999999999997</v>
      </c>
    </row>
    <row r="27" spans="2:5" s="23" customFormat="1" ht="12" customHeight="1">
      <c r="B27" s="54" t="s">
        <v>64</v>
      </c>
      <c r="C27" s="55"/>
      <c r="D27" s="55"/>
      <c r="E27" s="45">
        <f>35*цены!E16</f>
        <v>5620.3</v>
      </c>
    </row>
    <row r="28" spans="2:5" s="23" customFormat="1" ht="12" customHeight="1">
      <c r="B28" s="54" t="s">
        <v>14</v>
      </c>
      <c r="C28" s="55"/>
      <c r="D28" s="55"/>
      <c r="E28" s="45">
        <f>2*112</f>
        <v>224</v>
      </c>
    </row>
    <row r="29" spans="2:5" s="23" customFormat="1" ht="24" customHeight="1">
      <c r="B29" s="54" t="s">
        <v>81</v>
      </c>
      <c r="C29" s="55"/>
      <c r="D29" s="55"/>
      <c r="E29" s="45">
        <f>1*цены!E22</f>
        <v>542.01</v>
      </c>
    </row>
    <row r="30" spans="2:5" s="23" customFormat="1" ht="24" customHeight="1">
      <c r="B30" s="54" t="s">
        <v>18</v>
      </c>
      <c r="C30" s="55"/>
      <c r="D30" s="55"/>
      <c r="E30" s="45">
        <f>4*цены!E37</f>
        <v>5140.88</v>
      </c>
    </row>
    <row r="31" spans="2:5" s="23" customFormat="1" ht="12" customHeight="1">
      <c r="B31" s="54" t="s">
        <v>3</v>
      </c>
      <c r="C31" s="55"/>
      <c r="D31" s="55"/>
      <c r="E31" s="45">
        <f>4*цены!E40</f>
        <v>1929.52</v>
      </c>
    </row>
    <row r="32" spans="2:5" s="28" customFormat="1" ht="12" customHeight="1">
      <c r="B32" s="54" t="s">
        <v>13</v>
      </c>
      <c r="C32" s="54"/>
      <c r="D32" s="54"/>
      <c r="E32" s="45">
        <f>25.43*25*2+25.43*16</f>
        <v>1678.38</v>
      </c>
    </row>
    <row r="33" spans="2:5" s="27" customFormat="1" ht="12" customHeight="1">
      <c r="B33" s="49" t="s">
        <v>117</v>
      </c>
      <c r="C33" s="50"/>
      <c r="D33" s="50"/>
      <c r="E33" s="46">
        <f>150*1</f>
        <v>150</v>
      </c>
    </row>
    <row r="34" spans="2:5" s="27" customFormat="1" ht="12" customHeight="1">
      <c r="B34" s="49" t="s">
        <v>95</v>
      </c>
      <c r="C34" s="50"/>
      <c r="D34" s="50"/>
      <c r="E34" s="46">
        <f>553.9*5</f>
        <v>2769.5</v>
      </c>
    </row>
    <row r="35" spans="2:5" s="27" customFormat="1" ht="12" customHeight="1">
      <c r="B35" s="49" t="s">
        <v>118</v>
      </c>
      <c r="C35" s="50"/>
      <c r="D35" s="50"/>
      <c r="E35" s="36">
        <f>746.67*5*1.25</f>
        <v>4666.6875</v>
      </c>
    </row>
    <row r="36" spans="2:5" ht="12" customHeight="1">
      <c r="B36" s="54" t="s">
        <v>103</v>
      </c>
      <c r="C36" s="55"/>
      <c r="D36" s="55"/>
      <c r="E36" s="45">
        <f>709*23</f>
        <v>16307</v>
      </c>
    </row>
    <row r="37" spans="2:5" s="28" customFormat="1" ht="12" customHeight="1">
      <c r="B37" s="54" t="s">
        <v>102</v>
      </c>
      <c r="C37" s="55"/>
      <c r="D37" s="55"/>
      <c r="E37" s="45">
        <f>1900</f>
        <v>1900</v>
      </c>
    </row>
    <row r="38" spans="2:5" s="30" customFormat="1" ht="12" customHeight="1">
      <c r="B38" s="54" t="s">
        <v>119</v>
      </c>
      <c r="C38" s="54"/>
      <c r="D38" s="54"/>
      <c r="E38" s="35">
        <v>10832.59</v>
      </c>
    </row>
    <row r="39" spans="2:5" s="30" customFormat="1" ht="12" customHeight="1">
      <c r="B39" s="54" t="s">
        <v>106</v>
      </c>
      <c r="C39" s="54"/>
      <c r="D39" s="54"/>
      <c r="E39" s="35">
        <f>451*5</f>
        <v>2255</v>
      </c>
    </row>
    <row r="40" spans="2:5" s="28" customFormat="1" ht="12" customHeight="1">
      <c r="B40" s="54" t="s">
        <v>112</v>
      </c>
      <c r="C40" s="54"/>
      <c r="D40" s="54"/>
      <c r="E40" s="35">
        <f>0.0135*3*23808</f>
        <v>964.224</v>
      </c>
    </row>
    <row r="41" spans="2:5" s="30" customFormat="1" ht="12" customHeight="1">
      <c r="B41" s="54" t="s">
        <v>9</v>
      </c>
      <c r="C41" s="55"/>
      <c r="D41" s="55"/>
      <c r="E41" s="45">
        <f>цены!E38*8*3</f>
        <v>5362.08</v>
      </c>
    </row>
    <row r="42" spans="2:5" s="28" customFormat="1" ht="12" customHeight="1">
      <c r="B42" s="54" t="s">
        <v>116</v>
      </c>
      <c r="C42" s="54"/>
      <c r="D42" s="54"/>
      <c r="E42" s="45">
        <f>8263.37*1</f>
        <v>8263.37</v>
      </c>
    </row>
    <row r="43" ht="15">
      <c r="E43" s="16">
        <f>SUM(E5:E42)</f>
        <v>869919.2409679999</v>
      </c>
    </row>
    <row r="44" spans="3:5" ht="12" customHeight="1">
      <c r="C44" s="14" t="s">
        <v>120</v>
      </c>
      <c r="D44" s="73">
        <f>'[2]Лист2'!$D$46</f>
        <v>1058636.46</v>
      </c>
      <c r="E44" s="74"/>
    </row>
    <row r="45" spans="3:5" ht="12" customHeight="1">
      <c r="C45" s="14" t="s">
        <v>10</v>
      </c>
      <c r="D45" s="75">
        <f>'[2]Лист2'!$E$46</f>
        <v>1058132.2100000002</v>
      </c>
      <c r="E45" s="76"/>
    </row>
    <row r="46" spans="3:5" ht="12" customHeight="1">
      <c r="C46" s="14" t="s">
        <v>121</v>
      </c>
      <c r="D46" s="8"/>
      <c r="E46" s="19">
        <f>E43*1.18</f>
        <v>1026504.7043422399</v>
      </c>
    </row>
    <row r="47" spans="3:5" ht="230.25" customHeight="1">
      <c r="C47" s="14"/>
      <c r="D47" s="9"/>
      <c r="E47" s="21"/>
    </row>
    <row r="48" spans="1:7" s="22" customFormat="1" ht="24" customHeight="1">
      <c r="A48" s="70" t="s">
        <v>60</v>
      </c>
      <c r="B48" s="71"/>
      <c r="C48" s="71"/>
      <c r="D48" s="71"/>
      <c r="E48" s="71"/>
      <c r="F48" s="71"/>
      <c r="G48" s="71"/>
    </row>
    <row r="49" spans="2:5" ht="12" customHeight="1">
      <c r="B49" s="69" t="s">
        <v>0</v>
      </c>
      <c r="C49" s="69"/>
      <c r="D49" s="69"/>
      <c r="E49" s="4"/>
    </row>
    <row r="50" spans="2:5" ht="21" customHeight="1">
      <c r="B50" s="72" t="s">
        <v>1</v>
      </c>
      <c r="C50" s="52"/>
      <c r="D50" s="52"/>
      <c r="E50" s="18"/>
    </row>
    <row r="51" spans="2:5" ht="15" customHeight="1" thickBot="1">
      <c r="B51" s="68" t="s">
        <v>55</v>
      </c>
      <c r="C51" s="52"/>
      <c r="D51" s="52"/>
      <c r="E51" s="52"/>
    </row>
    <row r="52" spans="2:12" ht="23.25" customHeight="1" thickBot="1">
      <c r="B52" s="51" t="s">
        <v>44</v>
      </c>
      <c r="C52" s="53"/>
      <c r="D52" s="53"/>
      <c r="E52" s="17">
        <f>2.05*J52*12+J52*2*2.05+2.05*4*J52</f>
        <v>40988.52</v>
      </c>
      <c r="H52" s="1">
        <v>90</v>
      </c>
      <c r="I52" s="1">
        <v>4437.2</v>
      </c>
      <c r="J52" s="1">
        <v>1110.8</v>
      </c>
      <c r="K52" s="1">
        <f>J52</f>
        <v>1110.8</v>
      </c>
      <c r="L52" s="2">
        <v>68</v>
      </c>
    </row>
    <row r="53" spans="2:12" ht="36" customHeight="1">
      <c r="B53" s="51" t="s">
        <v>38</v>
      </c>
      <c r="C53" s="53"/>
      <c r="D53" s="53"/>
      <c r="E53" s="17">
        <f>(I52*2.05*2)</f>
        <v>18192.519999999997</v>
      </c>
      <c r="H53" s="20" t="s">
        <v>34</v>
      </c>
      <c r="I53" s="20" t="s">
        <v>35</v>
      </c>
      <c r="J53" s="20" t="s">
        <v>52</v>
      </c>
      <c r="K53" s="20" t="s">
        <v>36</v>
      </c>
      <c r="L53" s="20" t="s">
        <v>37</v>
      </c>
    </row>
    <row r="54" spans="2:5" ht="12" customHeight="1">
      <c r="B54" s="51" t="s">
        <v>39</v>
      </c>
      <c r="C54" s="53"/>
      <c r="D54" s="53"/>
      <c r="E54" s="17">
        <f>I52*2.05*2</f>
        <v>18192.519999999997</v>
      </c>
    </row>
    <row r="55" spans="2:5" ht="12" customHeight="1" hidden="1">
      <c r="B55" s="51" t="s">
        <v>40</v>
      </c>
      <c r="C55" s="53"/>
      <c r="D55" s="53"/>
      <c r="E55" s="17"/>
    </row>
    <row r="56" spans="2:5" ht="12" customHeight="1">
      <c r="B56" s="51" t="s">
        <v>41</v>
      </c>
      <c r="C56" s="53"/>
      <c r="D56" s="53"/>
      <c r="E56" s="17">
        <f>(3*121.53*2*I52/1000)*3</f>
        <v>9706.552488000001</v>
      </c>
    </row>
    <row r="57" spans="2:5" ht="12" customHeight="1">
      <c r="B57" s="51" t="s">
        <v>19</v>
      </c>
      <c r="C57" s="53"/>
      <c r="D57" s="53"/>
      <c r="E57" s="17">
        <f>12*I52*0.76</f>
        <v>40467.263999999996</v>
      </c>
    </row>
    <row r="58" spans="2:5" ht="12" customHeight="1">
      <c r="B58" s="51" t="s">
        <v>21</v>
      </c>
      <c r="C58" s="53"/>
      <c r="D58" s="53"/>
      <c r="E58" s="17">
        <f>12*I52*4.53</f>
        <v>241206.19199999998</v>
      </c>
    </row>
    <row r="59" spans="2:5" ht="12" customHeight="1">
      <c r="B59" s="51" t="s">
        <v>22</v>
      </c>
      <c r="C59" s="53"/>
      <c r="D59" s="53"/>
      <c r="E59" s="17">
        <f>1*L52*286.7</f>
        <v>19495.6</v>
      </c>
    </row>
    <row r="60" spans="2:5" ht="12" customHeight="1">
      <c r="B60" s="51" t="s">
        <v>20</v>
      </c>
      <c r="C60" s="53"/>
      <c r="D60" s="53"/>
      <c r="E60" s="17">
        <f>12*I52*0.54</f>
        <v>28753.056</v>
      </c>
    </row>
    <row r="61" spans="2:5" ht="12" customHeight="1">
      <c r="B61" s="80" t="s">
        <v>25</v>
      </c>
      <c r="C61" s="81"/>
      <c r="D61" s="81"/>
      <c r="E61" s="17">
        <v>15000</v>
      </c>
    </row>
    <row r="62" spans="2:5" ht="6" customHeight="1">
      <c r="B62" s="64" t="s">
        <v>24</v>
      </c>
      <c r="C62" s="65"/>
      <c r="D62" s="65"/>
      <c r="E62" s="79">
        <f>12*I52*0.84</f>
        <v>44726.975999999995</v>
      </c>
    </row>
    <row r="63" spans="2:5" ht="6" customHeight="1">
      <c r="B63" s="66"/>
      <c r="C63" s="67"/>
      <c r="D63" s="67"/>
      <c r="E63" s="79"/>
    </row>
    <row r="64" spans="2:5" ht="6" customHeight="1">
      <c r="B64" s="64" t="s">
        <v>42</v>
      </c>
      <c r="C64" s="65"/>
      <c r="D64" s="65"/>
      <c r="E64" s="79">
        <f>12*I52*1.79</f>
        <v>95311.056</v>
      </c>
    </row>
    <row r="65" spans="2:5" ht="6" customHeight="1">
      <c r="B65" s="66"/>
      <c r="C65" s="67"/>
      <c r="D65" s="67"/>
      <c r="E65" s="79"/>
    </row>
    <row r="66" spans="2:5" ht="12" customHeight="1">
      <c r="B66" s="56" t="s">
        <v>46</v>
      </c>
      <c r="C66" s="57"/>
      <c r="D66" s="57"/>
      <c r="E66" s="7">
        <f>12*I52*0.37</f>
        <v>19701.167999999998</v>
      </c>
    </row>
    <row r="67" spans="2:5" ht="12" customHeight="1">
      <c r="B67" s="56" t="s">
        <v>47</v>
      </c>
      <c r="C67" s="57"/>
      <c r="D67" s="57"/>
      <c r="E67" s="7">
        <f>H52*2*70%*2*137.35*0.38</f>
        <v>13152.635999999999</v>
      </c>
    </row>
    <row r="68" spans="2:5" ht="12" customHeight="1">
      <c r="B68" s="56" t="s">
        <v>48</v>
      </c>
      <c r="C68" s="57"/>
      <c r="D68" s="57"/>
      <c r="E68" s="7">
        <f>H52*70%*2*137.35*0.38</f>
        <v>6576.317999999999</v>
      </c>
    </row>
    <row r="69" spans="2:5" ht="12" customHeight="1">
      <c r="B69" s="51" t="s">
        <v>49</v>
      </c>
      <c r="C69" s="52"/>
      <c r="D69" s="52"/>
      <c r="E69" s="3">
        <f>68.68*42</f>
        <v>2884.5600000000004</v>
      </c>
    </row>
    <row r="70" spans="2:5" ht="12" customHeight="1">
      <c r="B70" s="51" t="s">
        <v>5</v>
      </c>
      <c r="C70" s="52"/>
      <c r="D70" s="52"/>
      <c r="E70" s="3">
        <f>68.68*55</f>
        <v>3777.4000000000005</v>
      </c>
    </row>
    <row r="71" spans="2:5" ht="12" customHeight="1">
      <c r="B71" s="51" t="s">
        <v>50</v>
      </c>
      <c r="C71" s="52"/>
      <c r="D71" s="52"/>
      <c r="E71" s="3">
        <f>68.68*38</f>
        <v>2609.84</v>
      </c>
    </row>
    <row r="72" spans="2:5" s="25" customFormat="1" ht="12" customHeight="1">
      <c r="B72" s="82" t="s">
        <v>62</v>
      </c>
      <c r="C72" s="83"/>
      <c r="D72" s="83"/>
      <c r="E72" s="26">
        <v>7612.16</v>
      </c>
    </row>
    <row r="73" spans="2:5" s="23" customFormat="1" ht="12" customHeight="1">
      <c r="B73" s="51" t="s">
        <v>8</v>
      </c>
      <c r="C73" s="53"/>
      <c r="D73" s="53"/>
      <c r="E73" s="10">
        <f>63*цены!E13</f>
        <v>5048.82</v>
      </c>
    </row>
    <row r="74" spans="2:5" s="23" customFormat="1" ht="12" customHeight="1">
      <c r="B74" s="61" t="s">
        <v>63</v>
      </c>
      <c r="C74" s="52"/>
      <c r="D74" s="52"/>
      <c r="E74" s="3">
        <f>1*цены!E15</f>
        <v>141.22</v>
      </c>
    </row>
    <row r="75" spans="2:5" s="23" customFormat="1" ht="12" customHeight="1">
      <c r="B75" s="61" t="s">
        <v>64</v>
      </c>
      <c r="C75" s="52"/>
      <c r="D75" s="52"/>
      <c r="E75" s="3">
        <f>39*цены!E16</f>
        <v>6262.620000000001</v>
      </c>
    </row>
    <row r="76" spans="2:5" s="23" customFormat="1" ht="12.75" customHeight="1">
      <c r="B76" s="61" t="s">
        <v>28</v>
      </c>
      <c r="C76" s="52"/>
      <c r="D76" s="52"/>
      <c r="E76" s="3">
        <f>1*цены!E23</f>
        <v>3820</v>
      </c>
    </row>
    <row r="77" spans="2:5" s="23" customFormat="1" ht="31.5" customHeight="1">
      <c r="B77" s="61" t="s">
        <v>81</v>
      </c>
      <c r="C77" s="52"/>
      <c r="D77" s="52"/>
      <c r="E77" s="3">
        <f>3*цены!E22</f>
        <v>1626.03</v>
      </c>
    </row>
    <row r="78" spans="2:5" s="23" customFormat="1" ht="12" customHeight="1">
      <c r="B78" s="56" t="s">
        <v>14</v>
      </c>
      <c r="C78" s="58"/>
      <c r="D78" s="58"/>
      <c r="E78" s="10">
        <f>112*10</f>
        <v>1120</v>
      </c>
    </row>
    <row r="79" spans="2:5" s="23" customFormat="1" ht="12" customHeight="1">
      <c r="B79" s="61" t="s">
        <v>17</v>
      </c>
      <c r="C79" s="52"/>
      <c r="D79" s="52"/>
      <c r="E79" s="3">
        <f>4*цены!E28</f>
        <v>2516.08</v>
      </c>
    </row>
    <row r="80" spans="2:5" s="28" customFormat="1" ht="12" customHeight="1">
      <c r="B80" s="51" t="s">
        <v>13</v>
      </c>
      <c r="C80" s="53"/>
      <c r="D80" s="53"/>
      <c r="E80" s="3">
        <f>25.43*25*2+25.43*16+2000</f>
        <v>3678.38</v>
      </c>
    </row>
    <row r="81" spans="2:5" s="28" customFormat="1" ht="12" customHeight="1">
      <c r="B81" s="61" t="s">
        <v>97</v>
      </c>
      <c r="C81" s="53"/>
      <c r="D81" s="53"/>
      <c r="E81" s="5">
        <f>0.0045*23808</f>
        <v>107.136</v>
      </c>
    </row>
    <row r="82" spans="2:5" ht="13.5" customHeight="1">
      <c r="B82" s="51" t="s">
        <v>99</v>
      </c>
      <c r="C82" s="52"/>
      <c r="D82" s="52"/>
      <c r="E82" s="5">
        <f>596.29*1.98*3</f>
        <v>3541.9626</v>
      </c>
    </row>
    <row r="83" spans="2:5" s="28" customFormat="1" ht="12" customHeight="1">
      <c r="B83" s="51" t="s">
        <v>12</v>
      </c>
      <c r="C83" s="52"/>
      <c r="D83" s="52"/>
      <c r="E83" s="3">
        <f>1740*7</f>
        <v>12180</v>
      </c>
    </row>
    <row r="84" spans="2:5" s="28" customFormat="1" ht="12" customHeight="1">
      <c r="B84" s="56" t="s">
        <v>101</v>
      </c>
      <c r="C84" s="57"/>
      <c r="D84" s="57"/>
      <c r="E84" s="29">
        <f>3.12*5*540</f>
        <v>8424</v>
      </c>
    </row>
    <row r="85" spans="2:5" s="28" customFormat="1" ht="12" customHeight="1">
      <c r="B85" s="61" t="s">
        <v>43</v>
      </c>
      <c r="C85" s="53"/>
      <c r="D85" s="53"/>
      <c r="E85" s="5">
        <f>2*0.03*12079.1</f>
        <v>724.746</v>
      </c>
    </row>
    <row r="86" spans="2:5" s="28" customFormat="1" ht="12" customHeight="1">
      <c r="B86" s="51" t="s">
        <v>114</v>
      </c>
      <c r="C86" s="52"/>
      <c r="D86" s="52"/>
      <c r="E86" s="12">
        <f>709*3</f>
        <v>2127</v>
      </c>
    </row>
    <row r="87" ht="15">
      <c r="E87" s="16">
        <f>SUM(E52:E86)</f>
        <v>679672.3330879998</v>
      </c>
    </row>
    <row r="88" spans="3:5" ht="12" customHeight="1">
      <c r="C88" s="14" t="s">
        <v>92</v>
      </c>
      <c r="D88" s="73">
        <f>'[2]Лист2'!$D$47</f>
        <v>748956.8200000001</v>
      </c>
      <c r="E88" s="74"/>
    </row>
    <row r="89" spans="3:5" ht="12" customHeight="1">
      <c r="C89" s="14" t="s">
        <v>10</v>
      </c>
      <c r="D89" s="75">
        <f>'[2]Лист2'!$E$47</f>
        <v>798735.2600000001</v>
      </c>
      <c r="E89" s="76"/>
    </row>
    <row r="90" spans="3:5" ht="12" customHeight="1">
      <c r="C90" s="14" t="s">
        <v>11</v>
      </c>
      <c r="D90" s="8">
        <f>E87</f>
        <v>679672.3330879998</v>
      </c>
      <c r="E90" s="19">
        <f>D90*1.18</f>
        <v>802013.3530438398</v>
      </c>
    </row>
    <row r="91" spans="3:5" ht="227.25" customHeight="1">
      <c r="C91" s="14"/>
      <c r="D91" s="9"/>
      <c r="E91" s="21"/>
    </row>
    <row r="92" spans="1:7" s="22" customFormat="1" ht="24" customHeight="1">
      <c r="A92" s="70" t="s">
        <v>60</v>
      </c>
      <c r="B92" s="71"/>
      <c r="C92" s="71"/>
      <c r="D92" s="71"/>
      <c r="E92" s="71"/>
      <c r="F92" s="71"/>
      <c r="G92" s="71"/>
    </row>
    <row r="93" spans="2:5" ht="12" customHeight="1">
      <c r="B93" s="69" t="s">
        <v>0</v>
      </c>
      <c r="C93" s="69"/>
      <c r="D93" s="69"/>
      <c r="E93" s="4"/>
    </row>
    <row r="94" spans="2:5" ht="21" customHeight="1">
      <c r="B94" s="62" t="s">
        <v>1</v>
      </c>
      <c r="C94" s="52"/>
      <c r="D94" s="52"/>
      <c r="E94" s="18"/>
    </row>
    <row r="95" spans="2:5" ht="15" customHeight="1" thickBot="1">
      <c r="B95" s="63" t="s">
        <v>56</v>
      </c>
      <c r="C95" s="52"/>
      <c r="D95" s="52"/>
      <c r="E95" s="52"/>
    </row>
    <row r="96" spans="2:12" ht="23.25" customHeight="1" thickBot="1">
      <c r="B96" s="51" t="s">
        <v>44</v>
      </c>
      <c r="C96" s="53"/>
      <c r="D96" s="53"/>
      <c r="E96" s="17">
        <f>2.05*J96*12+J96*2*2.05+2.05*4*J96</f>
        <v>40350.149999999994</v>
      </c>
      <c r="H96" s="1">
        <v>90</v>
      </c>
      <c r="I96" s="1">
        <v>4379.1</v>
      </c>
      <c r="J96" s="1">
        <v>1093.5</v>
      </c>
      <c r="K96" s="1">
        <f>J96</f>
        <v>1093.5</v>
      </c>
      <c r="L96" s="2">
        <v>68</v>
      </c>
    </row>
    <row r="97" spans="2:12" ht="36" customHeight="1">
      <c r="B97" s="51" t="s">
        <v>38</v>
      </c>
      <c r="C97" s="53"/>
      <c r="D97" s="53"/>
      <c r="E97" s="17">
        <f>(I96*2.05*2)</f>
        <v>17954.31</v>
      </c>
      <c r="H97" s="20" t="s">
        <v>34</v>
      </c>
      <c r="I97" s="20" t="s">
        <v>35</v>
      </c>
      <c r="J97" s="20" t="s">
        <v>52</v>
      </c>
      <c r="K97" s="20" t="s">
        <v>36</v>
      </c>
      <c r="L97" s="20" t="s">
        <v>37</v>
      </c>
    </row>
    <row r="98" spans="2:5" ht="12" customHeight="1">
      <c r="B98" s="51" t="s">
        <v>39</v>
      </c>
      <c r="C98" s="53"/>
      <c r="D98" s="53"/>
      <c r="E98" s="17">
        <f>I96*2.05*2</f>
        <v>17954.31</v>
      </c>
    </row>
    <row r="99" spans="2:5" ht="12" customHeight="1" hidden="1">
      <c r="B99" s="51" t="s">
        <v>40</v>
      </c>
      <c r="C99" s="53"/>
      <c r="D99" s="53"/>
      <c r="E99" s="17"/>
    </row>
    <row r="100" spans="2:5" ht="12" customHeight="1">
      <c r="B100" s="51" t="s">
        <v>41</v>
      </c>
      <c r="C100" s="53"/>
      <c r="D100" s="53"/>
      <c r="E100" s="17">
        <f>(3*121.53*2*I96/1000)*3</f>
        <v>9579.456414000002</v>
      </c>
    </row>
    <row r="101" spans="2:5" ht="12" customHeight="1">
      <c r="B101" s="51" t="s">
        <v>19</v>
      </c>
      <c r="C101" s="53"/>
      <c r="D101" s="53"/>
      <c r="E101" s="17">
        <f>12*I96*0.76</f>
        <v>39937.39200000001</v>
      </c>
    </row>
    <row r="102" spans="2:5" ht="12" customHeight="1">
      <c r="B102" s="51" t="s">
        <v>21</v>
      </c>
      <c r="C102" s="53"/>
      <c r="D102" s="53"/>
      <c r="E102" s="17">
        <f>12*I96*4.53</f>
        <v>238047.87600000002</v>
      </c>
    </row>
    <row r="103" spans="2:5" ht="12" customHeight="1">
      <c r="B103" s="51" t="s">
        <v>22</v>
      </c>
      <c r="C103" s="53"/>
      <c r="D103" s="53"/>
      <c r="E103" s="17">
        <f>1*L96*286.7</f>
        <v>19495.6</v>
      </c>
    </row>
    <row r="104" spans="2:5" ht="12" customHeight="1">
      <c r="B104" s="51" t="s">
        <v>20</v>
      </c>
      <c r="C104" s="53"/>
      <c r="D104" s="53"/>
      <c r="E104" s="17">
        <f>12*I96*0.54</f>
        <v>28376.568000000003</v>
      </c>
    </row>
    <row r="105" spans="2:5" ht="12" customHeight="1">
      <c r="B105" s="80" t="s">
        <v>25</v>
      </c>
      <c r="C105" s="81"/>
      <c r="D105" s="81"/>
      <c r="E105" s="17">
        <v>20000</v>
      </c>
    </row>
    <row r="106" spans="2:5" ht="6" customHeight="1">
      <c r="B106" s="64" t="s">
        <v>24</v>
      </c>
      <c r="C106" s="65"/>
      <c r="D106" s="65"/>
      <c r="E106" s="79">
        <f>12*I96*0.85</f>
        <v>44666.82</v>
      </c>
    </row>
    <row r="107" spans="2:5" ht="6" customHeight="1">
      <c r="B107" s="66"/>
      <c r="C107" s="67"/>
      <c r="D107" s="67"/>
      <c r="E107" s="79"/>
    </row>
    <row r="108" spans="2:5" ht="6" customHeight="1">
      <c r="B108" s="64" t="s">
        <v>42</v>
      </c>
      <c r="C108" s="65"/>
      <c r="D108" s="65"/>
      <c r="E108" s="79">
        <f>12*I96*1.48</f>
        <v>77772.816</v>
      </c>
    </row>
    <row r="109" spans="2:5" ht="6" customHeight="1">
      <c r="B109" s="66"/>
      <c r="C109" s="67"/>
      <c r="D109" s="67"/>
      <c r="E109" s="79"/>
    </row>
    <row r="110" spans="2:5" ht="12" customHeight="1">
      <c r="B110" s="56" t="s">
        <v>45</v>
      </c>
      <c r="C110" s="57"/>
      <c r="D110" s="57"/>
      <c r="E110" s="7">
        <v>15405</v>
      </c>
    </row>
    <row r="111" spans="2:5" ht="12" customHeight="1">
      <c r="B111" s="56" t="s">
        <v>46</v>
      </c>
      <c r="C111" s="57"/>
      <c r="D111" s="57"/>
      <c r="E111" s="7">
        <f>12*I96*0.37</f>
        <v>19443.204</v>
      </c>
    </row>
    <row r="112" spans="2:5" ht="12" customHeight="1">
      <c r="B112" s="56" t="s">
        <v>47</v>
      </c>
      <c r="C112" s="57"/>
      <c r="D112" s="57"/>
      <c r="E112" s="7">
        <f>H96*2*80%*2*137.35*0.38</f>
        <v>15031.583999999999</v>
      </c>
    </row>
    <row r="113" spans="2:5" ht="12" customHeight="1">
      <c r="B113" s="56" t="s">
        <v>48</v>
      </c>
      <c r="C113" s="57"/>
      <c r="D113" s="57"/>
      <c r="E113" s="7">
        <f>H96*80%*2*137.35*0.38</f>
        <v>7515.7919999999995</v>
      </c>
    </row>
    <row r="114" spans="2:5" ht="12" customHeight="1">
      <c r="B114" s="51" t="s">
        <v>49</v>
      </c>
      <c r="C114" s="52"/>
      <c r="D114" s="52"/>
      <c r="E114" s="3">
        <f>68.68*25</f>
        <v>1717.0000000000002</v>
      </c>
    </row>
    <row r="115" spans="2:8" ht="12" customHeight="1">
      <c r="B115" s="51" t="s">
        <v>5</v>
      </c>
      <c r="C115" s="52"/>
      <c r="D115" s="52"/>
      <c r="E115" s="3">
        <f>68.68*20</f>
        <v>1373.6000000000001</v>
      </c>
      <c r="H115" s="23"/>
    </row>
    <row r="116" spans="2:8" ht="12" customHeight="1">
      <c r="B116" s="51" t="s">
        <v>50</v>
      </c>
      <c r="C116" s="52"/>
      <c r="D116" s="52"/>
      <c r="E116" s="3">
        <f>68.68*15</f>
        <v>1030.2</v>
      </c>
      <c r="H116" s="23"/>
    </row>
    <row r="117" spans="2:5" s="23" customFormat="1" ht="12" customHeight="1">
      <c r="B117" s="51" t="s">
        <v>8</v>
      </c>
      <c r="C117" s="53"/>
      <c r="D117" s="53"/>
      <c r="E117" s="10">
        <f>56*цены!E13</f>
        <v>4487.84</v>
      </c>
    </row>
    <row r="118" spans="2:5" s="23" customFormat="1" ht="12" customHeight="1">
      <c r="B118" s="61" t="s">
        <v>63</v>
      </c>
      <c r="C118" s="52"/>
      <c r="D118" s="52"/>
      <c r="E118" s="3">
        <f>2*цены!E15</f>
        <v>282.44</v>
      </c>
    </row>
    <row r="119" spans="2:5" s="23" customFormat="1" ht="12" customHeight="1">
      <c r="B119" s="61" t="s">
        <v>64</v>
      </c>
      <c r="C119" s="52"/>
      <c r="D119" s="52"/>
      <c r="E119" s="3">
        <f>70*цены!E16</f>
        <v>11240.6</v>
      </c>
    </row>
    <row r="120" spans="2:5" s="23" customFormat="1" ht="12" customHeight="1">
      <c r="B120" s="61" t="s">
        <v>32</v>
      </c>
      <c r="C120" s="53"/>
      <c r="D120" s="53"/>
      <c r="E120" s="3">
        <v>4085.53</v>
      </c>
    </row>
    <row r="121" spans="2:5" s="23" customFormat="1" ht="12" customHeight="1">
      <c r="B121" s="61" t="s">
        <v>68</v>
      </c>
      <c r="C121" s="52"/>
      <c r="D121" s="52"/>
      <c r="E121" s="3">
        <f>цены!E14</f>
        <v>1699.51</v>
      </c>
    </row>
    <row r="122" spans="2:5" s="23" customFormat="1" ht="12.75" customHeight="1">
      <c r="B122" s="61" t="s">
        <v>80</v>
      </c>
      <c r="C122" s="52"/>
      <c r="D122" s="52"/>
      <c r="E122" s="3">
        <f>цены!E21</f>
        <v>731.09</v>
      </c>
    </row>
    <row r="123" spans="2:5" s="23" customFormat="1" ht="12.75" customHeight="1">
      <c r="B123" s="61" t="s">
        <v>83</v>
      </c>
      <c r="C123" s="52"/>
      <c r="D123" s="52"/>
      <c r="E123" s="3">
        <f>E122</f>
        <v>731.09</v>
      </c>
    </row>
    <row r="124" spans="2:5" s="23" customFormat="1" ht="11.25" customHeight="1">
      <c r="B124" s="61" t="s">
        <v>18</v>
      </c>
      <c r="C124" s="52"/>
      <c r="D124" s="52"/>
      <c r="E124" s="3">
        <f>9*цены!E37</f>
        <v>11566.98</v>
      </c>
    </row>
    <row r="125" spans="2:5" s="23" customFormat="1" ht="12" customHeight="1">
      <c r="B125" s="61" t="s">
        <v>17</v>
      </c>
      <c r="C125" s="52"/>
      <c r="D125" s="52"/>
      <c r="E125" s="3">
        <f>4*цены!E28</f>
        <v>2516.08</v>
      </c>
    </row>
    <row r="126" spans="2:5" ht="12" customHeight="1">
      <c r="B126" s="51" t="s">
        <v>75</v>
      </c>
      <c r="C126" s="52"/>
      <c r="D126" s="52"/>
      <c r="E126" s="3">
        <f>цены!E49</f>
        <v>1613.3200000000002</v>
      </c>
    </row>
    <row r="127" spans="2:5" s="28" customFormat="1" ht="12" customHeight="1">
      <c r="B127" s="51" t="s">
        <v>13</v>
      </c>
      <c r="C127" s="53"/>
      <c r="D127" s="53"/>
      <c r="E127" s="3">
        <f>25.43*25*2+25.43*16+9000</f>
        <v>10678.380000000001</v>
      </c>
    </row>
    <row r="128" spans="2:5" s="27" customFormat="1" ht="12" customHeight="1">
      <c r="B128" s="59" t="s">
        <v>117</v>
      </c>
      <c r="C128" s="60"/>
      <c r="D128" s="60"/>
      <c r="E128" s="12">
        <f>550*1</f>
        <v>550</v>
      </c>
    </row>
    <row r="129" spans="2:5" s="27" customFormat="1" ht="12" customHeight="1">
      <c r="B129" s="59" t="s">
        <v>95</v>
      </c>
      <c r="C129" s="60"/>
      <c r="D129" s="60"/>
      <c r="E129" s="12">
        <f>553.9*1</f>
        <v>553.9</v>
      </c>
    </row>
    <row r="130" spans="2:5" s="28" customFormat="1" ht="12" customHeight="1">
      <c r="B130" s="61" t="s">
        <v>96</v>
      </c>
      <c r="C130" s="53"/>
      <c r="D130" s="53"/>
      <c r="E130" s="5">
        <f>0.0045*23808</f>
        <v>107.136</v>
      </c>
    </row>
    <row r="131" spans="2:5" s="28" customFormat="1" ht="12" customHeight="1">
      <c r="B131" s="56" t="s">
        <v>98</v>
      </c>
      <c r="C131" s="57"/>
      <c r="D131" s="57"/>
      <c r="E131" s="3">
        <v>326.48</v>
      </c>
    </row>
    <row r="132" spans="2:5" ht="12" customHeight="1">
      <c r="B132" s="51" t="s">
        <v>12</v>
      </c>
      <c r="C132" s="52"/>
      <c r="D132" s="52"/>
      <c r="E132" s="3">
        <v>1900</v>
      </c>
    </row>
    <row r="133" spans="2:5" ht="12" customHeight="1">
      <c r="B133" s="51" t="s">
        <v>104</v>
      </c>
      <c r="C133" s="52"/>
      <c r="D133" s="52"/>
      <c r="E133" s="3">
        <f>317.39+321.44</f>
        <v>638.8299999999999</v>
      </c>
    </row>
    <row r="134" spans="2:5" s="28" customFormat="1" ht="12" customHeight="1">
      <c r="B134" s="51" t="s">
        <v>110</v>
      </c>
      <c r="C134" s="52"/>
      <c r="D134" s="52"/>
      <c r="E134" s="3">
        <f>340*2.5+1000</f>
        <v>1850</v>
      </c>
    </row>
    <row r="135" spans="2:5" s="28" customFormat="1" ht="13.5" customHeight="1">
      <c r="B135" s="51" t="s">
        <v>101</v>
      </c>
      <c r="C135" s="52"/>
      <c r="D135" s="52"/>
      <c r="E135" s="5">
        <f>3.12*2*580</f>
        <v>3619.2000000000003</v>
      </c>
    </row>
    <row r="136" spans="2:5" s="28" customFormat="1" ht="12" customHeight="1">
      <c r="B136" s="51" t="s">
        <v>114</v>
      </c>
      <c r="C136" s="52"/>
      <c r="D136" s="52"/>
      <c r="E136" s="12">
        <f>709*3</f>
        <v>2127</v>
      </c>
    </row>
    <row r="137" spans="2:5" ht="12" customHeight="1">
      <c r="B137" s="84"/>
      <c r="C137" s="74"/>
      <c r="D137" s="74"/>
      <c r="E137" s="15"/>
    </row>
    <row r="138" ht="15">
      <c r="E138" s="16">
        <f>SUM(E96:E137)</f>
        <v>676957.0844139998</v>
      </c>
    </row>
    <row r="139" spans="3:5" ht="12" customHeight="1">
      <c r="C139" s="14" t="s">
        <v>93</v>
      </c>
      <c r="D139" s="85">
        <f>'[2]Лист2'!$D$48</f>
        <v>804525.8800000001</v>
      </c>
      <c r="E139" s="76"/>
    </row>
    <row r="140" spans="3:5" ht="12" customHeight="1">
      <c r="C140" s="14" t="s">
        <v>10</v>
      </c>
      <c r="D140" s="75">
        <f>'[2]Лист2'!$E$48</f>
        <v>800798.7299999999</v>
      </c>
      <c r="E140" s="76"/>
    </row>
    <row r="141" spans="3:5" ht="12" customHeight="1">
      <c r="C141" s="14" t="s">
        <v>11</v>
      </c>
      <c r="D141" s="8">
        <f>E138</f>
        <v>676957.0844139998</v>
      </c>
      <c r="E141" s="19">
        <f>D141*1.18</f>
        <v>798809.3596085197</v>
      </c>
    </row>
    <row r="142" spans="3:5" ht="161.25" customHeight="1">
      <c r="C142" s="14"/>
      <c r="D142" s="9"/>
      <c r="E142" s="21"/>
    </row>
    <row r="143" spans="1:7" s="22" customFormat="1" ht="24" customHeight="1">
      <c r="A143" s="70" t="s">
        <v>60</v>
      </c>
      <c r="B143" s="71"/>
      <c r="C143" s="71"/>
      <c r="D143" s="71"/>
      <c r="E143" s="71"/>
      <c r="F143" s="71"/>
      <c r="G143" s="71"/>
    </row>
    <row r="144" spans="2:5" ht="12" customHeight="1">
      <c r="B144" s="69" t="s">
        <v>0</v>
      </c>
      <c r="C144" s="69"/>
      <c r="D144" s="69"/>
      <c r="E144" s="4"/>
    </row>
    <row r="145" spans="2:5" ht="21" customHeight="1">
      <c r="B145" s="62" t="s">
        <v>1</v>
      </c>
      <c r="C145" s="52"/>
      <c r="D145" s="52"/>
      <c r="E145" s="18"/>
    </row>
    <row r="146" spans="2:5" ht="15" customHeight="1" thickBot="1">
      <c r="B146" s="63" t="s">
        <v>57</v>
      </c>
      <c r="C146" s="52"/>
      <c r="D146" s="52"/>
      <c r="E146" s="52"/>
    </row>
    <row r="147" spans="2:12" ht="23.25" customHeight="1" thickBot="1">
      <c r="B147" s="51" t="s">
        <v>44</v>
      </c>
      <c r="C147" s="53"/>
      <c r="D147" s="53"/>
      <c r="E147" s="17">
        <f>2.05*J147*12+J147*2*2.05+2.05*4*J147</f>
        <v>41003.28</v>
      </c>
      <c r="H147" s="1">
        <v>90</v>
      </c>
      <c r="I147" s="1">
        <v>4463.4</v>
      </c>
      <c r="J147" s="1">
        <v>1111.2</v>
      </c>
      <c r="K147" s="1">
        <f>J147</f>
        <v>1111.2</v>
      </c>
      <c r="L147" s="2">
        <v>68</v>
      </c>
    </row>
    <row r="148" spans="2:12" ht="36" customHeight="1">
      <c r="B148" s="51" t="s">
        <v>38</v>
      </c>
      <c r="C148" s="53"/>
      <c r="D148" s="53"/>
      <c r="E148" s="17">
        <f>(I147*2.05*2)</f>
        <v>18299.94</v>
      </c>
      <c r="H148" s="20" t="s">
        <v>34</v>
      </c>
      <c r="I148" s="20" t="s">
        <v>35</v>
      </c>
      <c r="J148" s="20" t="s">
        <v>52</v>
      </c>
      <c r="K148" s="20" t="s">
        <v>36</v>
      </c>
      <c r="L148" s="20" t="s">
        <v>37</v>
      </c>
    </row>
    <row r="149" spans="2:5" ht="12" customHeight="1">
      <c r="B149" s="51" t="s">
        <v>39</v>
      </c>
      <c r="C149" s="53"/>
      <c r="D149" s="53"/>
      <c r="E149" s="17">
        <f>I147*2.05*2</f>
        <v>18299.94</v>
      </c>
    </row>
    <row r="150" spans="2:5" ht="12" customHeight="1" hidden="1">
      <c r="B150" s="51" t="s">
        <v>40</v>
      </c>
      <c r="C150" s="53"/>
      <c r="D150" s="53"/>
      <c r="E150" s="17"/>
    </row>
    <row r="151" spans="2:5" ht="12" customHeight="1">
      <c r="B151" s="51" t="s">
        <v>41</v>
      </c>
      <c r="C151" s="53"/>
      <c r="D151" s="53"/>
      <c r="E151" s="17">
        <f>(3*121.53*2*I147/1000)*3</f>
        <v>9763.866036000001</v>
      </c>
    </row>
    <row r="152" spans="2:5" ht="12" customHeight="1">
      <c r="B152" s="51" t="s">
        <v>19</v>
      </c>
      <c r="C152" s="53"/>
      <c r="D152" s="53"/>
      <c r="E152" s="17">
        <f>12*I147*0.76</f>
        <v>40706.208</v>
      </c>
    </row>
    <row r="153" spans="2:5" ht="12" customHeight="1">
      <c r="B153" s="51" t="s">
        <v>21</v>
      </c>
      <c r="C153" s="53"/>
      <c r="D153" s="53"/>
      <c r="E153" s="17">
        <f>12*I147*4.53</f>
        <v>242630.424</v>
      </c>
    </row>
    <row r="154" spans="2:5" ht="12" customHeight="1">
      <c r="B154" s="51" t="s">
        <v>22</v>
      </c>
      <c r="C154" s="53"/>
      <c r="D154" s="53"/>
      <c r="E154" s="17">
        <f>1*L147*286.7</f>
        <v>19495.6</v>
      </c>
    </row>
    <row r="155" spans="2:5" ht="12" customHeight="1">
      <c r="B155" s="51" t="s">
        <v>20</v>
      </c>
      <c r="C155" s="53"/>
      <c r="D155" s="53"/>
      <c r="E155" s="17">
        <f>12*I147*0.54</f>
        <v>28922.832</v>
      </c>
    </row>
    <row r="156" spans="2:5" ht="12" customHeight="1">
      <c r="B156" s="80" t="s">
        <v>25</v>
      </c>
      <c r="C156" s="81"/>
      <c r="D156" s="81"/>
      <c r="E156" s="17">
        <v>10000</v>
      </c>
    </row>
    <row r="157" spans="2:5" ht="6" customHeight="1">
      <c r="B157" s="64" t="s">
        <v>24</v>
      </c>
      <c r="C157" s="65"/>
      <c r="D157" s="65"/>
      <c r="E157" s="79">
        <f>12*I147*0.8</f>
        <v>42848.64</v>
      </c>
    </row>
    <row r="158" spans="2:5" ht="6" customHeight="1">
      <c r="B158" s="66"/>
      <c r="C158" s="67"/>
      <c r="D158" s="67"/>
      <c r="E158" s="79"/>
    </row>
    <row r="159" spans="2:5" ht="6" customHeight="1">
      <c r="B159" s="64" t="s">
        <v>42</v>
      </c>
      <c r="C159" s="65"/>
      <c r="D159" s="65"/>
      <c r="E159" s="79">
        <f>12*I147*1.46</f>
        <v>78198.768</v>
      </c>
    </row>
    <row r="160" spans="2:5" ht="6" customHeight="1">
      <c r="B160" s="66"/>
      <c r="C160" s="67"/>
      <c r="D160" s="67"/>
      <c r="E160" s="79"/>
    </row>
    <row r="161" spans="2:5" ht="12" customHeight="1">
      <c r="B161" s="56" t="s">
        <v>46</v>
      </c>
      <c r="C161" s="57"/>
      <c r="D161" s="57"/>
      <c r="E161" s="7">
        <f>12*I147*0.37</f>
        <v>19817.496</v>
      </c>
    </row>
    <row r="162" spans="2:5" ht="12" customHeight="1">
      <c r="B162" s="56" t="s">
        <v>47</v>
      </c>
      <c r="C162" s="57"/>
      <c r="D162" s="57"/>
      <c r="E162" s="7">
        <f>H147*2*90%*2*137.35*0.38</f>
        <v>16910.532</v>
      </c>
    </row>
    <row r="163" spans="2:5" ht="12" customHeight="1">
      <c r="B163" s="56" t="s">
        <v>48</v>
      </c>
      <c r="C163" s="57"/>
      <c r="D163" s="57"/>
      <c r="E163" s="7">
        <f>H147*90%*2*137.35*0.38</f>
        <v>8455.266</v>
      </c>
    </row>
    <row r="164" spans="2:5" ht="12" customHeight="1">
      <c r="B164" s="61" t="s">
        <v>49</v>
      </c>
      <c r="C164" s="52"/>
      <c r="D164" s="52"/>
      <c r="E164" s="3">
        <v>1442.28</v>
      </c>
    </row>
    <row r="165" spans="2:5" ht="12" customHeight="1">
      <c r="B165" s="61" t="s">
        <v>5</v>
      </c>
      <c r="C165" s="52"/>
      <c r="D165" s="52"/>
      <c r="E165" s="3">
        <v>3090.6</v>
      </c>
    </row>
    <row r="166" spans="2:5" ht="12" customHeight="1">
      <c r="B166" s="61" t="s">
        <v>50</v>
      </c>
      <c r="C166" s="52"/>
      <c r="D166" s="52"/>
      <c r="E166" s="3">
        <f>755.48*4</f>
        <v>3021.92</v>
      </c>
    </row>
    <row r="167" spans="2:5" s="23" customFormat="1" ht="12" customHeight="1">
      <c r="B167" s="51" t="s">
        <v>8</v>
      </c>
      <c r="C167" s="53"/>
      <c r="D167" s="53"/>
      <c r="E167" s="10">
        <f>45*цены!E13</f>
        <v>3606.3</v>
      </c>
    </row>
    <row r="168" spans="2:5" s="32" customFormat="1" ht="12" customHeight="1">
      <c r="B168" s="61" t="s">
        <v>32</v>
      </c>
      <c r="C168" s="53"/>
      <c r="D168" s="53"/>
      <c r="E168" s="3">
        <f>4085.53*2</f>
        <v>8171.06</v>
      </c>
    </row>
    <row r="169" spans="2:5" s="32" customFormat="1" ht="12" customHeight="1">
      <c r="B169" s="61" t="s">
        <v>81</v>
      </c>
      <c r="C169" s="52"/>
      <c r="D169" s="52"/>
      <c r="E169" s="3">
        <f>8*цены!E22</f>
        <v>4336.08</v>
      </c>
    </row>
    <row r="170" spans="2:5" s="32" customFormat="1" ht="12" customHeight="1">
      <c r="B170" s="61" t="s">
        <v>82</v>
      </c>
      <c r="C170" s="52"/>
      <c r="D170" s="52"/>
      <c r="E170" s="3">
        <f>4*цены!E24</f>
        <v>2224.64</v>
      </c>
    </row>
    <row r="171" spans="2:5" s="23" customFormat="1" ht="12" customHeight="1">
      <c r="B171" s="61" t="s">
        <v>64</v>
      </c>
      <c r="C171" s="52"/>
      <c r="D171" s="52"/>
      <c r="E171" s="3">
        <f>80*цены!E16</f>
        <v>12846.400000000001</v>
      </c>
    </row>
    <row r="172" spans="2:5" s="23" customFormat="1" ht="12" customHeight="1">
      <c r="B172" s="61" t="s">
        <v>14</v>
      </c>
      <c r="C172" s="53"/>
      <c r="D172" s="53"/>
      <c r="E172" s="3">
        <f>112*52</f>
        <v>5824</v>
      </c>
    </row>
    <row r="173" spans="2:5" s="23" customFormat="1" ht="11.25" customHeight="1">
      <c r="B173" s="61" t="s">
        <v>18</v>
      </c>
      <c r="C173" s="52"/>
      <c r="D173" s="52"/>
      <c r="E173" s="3">
        <f>цены!E37</f>
        <v>1285.22</v>
      </c>
    </row>
    <row r="174" spans="2:5" s="23" customFormat="1" ht="12" customHeight="1">
      <c r="B174" s="61" t="s">
        <v>17</v>
      </c>
      <c r="C174" s="52"/>
      <c r="D174" s="52"/>
      <c r="E174" s="3">
        <f>2*цены!E28</f>
        <v>1258.04</v>
      </c>
    </row>
    <row r="175" spans="2:5" s="28" customFormat="1" ht="12" customHeight="1">
      <c r="B175" s="51" t="s">
        <v>13</v>
      </c>
      <c r="C175" s="53"/>
      <c r="D175" s="53"/>
      <c r="E175" s="3">
        <f>25.43*25*2+20*25.43+52*25.43</f>
        <v>3102.46</v>
      </c>
    </row>
    <row r="176" spans="2:5" s="28" customFormat="1" ht="12" customHeight="1">
      <c r="B176" s="61" t="s">
        <v>105</v>
      </c>
      <c r="C176" s="53"/>
      <c r="D176" s="53"/>
      <c r="E176" s="5">
        <f>1190+0.02*23808</f>
        <v>1666.16</v>
      </c>
    </row>
    <row r="177" spans="2:5" ht="12" customHeight="1">
      <c r="B177" s="84" t="s">
        <v>100</v>
      </c>
      <c r="C177" s="74"/>
      <c r="D177" s="74"/>
      <c r="E177" s="15">
        <v>3741.8</v>
      </c>
    </row>
    <row r="178" spans="2:5" s="28" customFormat="1" ht="12" customHeight="1">
      <c r="B178" s="51" t="s">
        <v>102</v>
      </c>
      <c r="C178" s="53"/>
      <c r="D178" s="53"/>
      <c r="E178" s="3">
        <f>1*1900</f>
        <v>1900</v>
      </c>
    </row>
    <row r="179" spans="2:5" s="28" customFormat="1" ht="12" customHeight="1">
      <c r="B179" s="61" t="s">
        <v>108</v>
      </c>
      <c r="C179" s="53"/>
      <c r="D179" s="53"/>
      <c r="E179" s="5">
        <f>6*0.03*12079.1</f>
        <v>2174.238</v>
      </c>
    </row>
    <row r="180" spans="2:5" s="28" customFormat="1" ht="12" customHeight="1">
      <c r="B180" s="51" t="s">
        <v>110</v>
      </c>
      <c r="C180" s="52"/>
      <c r="D180" s="52"/>
      <c r="E180" s="3">
        <f>340*20</f>
        <v>6800</v>
      </c>
    </row>
    <row r="181" spans="2:5" s="30" customFormat="1" ht="12" customHeight="1">
      <c r="B181" s="61" t="s">
        <v>9</v>
      </c>
      <c r="C181" s="52"/>
      <c r="D181" s="52"/>
      <c r="E181" s="3">
        <f>цены!E38*8</f>
        <v>1787.36</v>
      </c>
    </row>
    <row r="182" spans="2:5" s="28" customFormat="1" ht="12" customHeight="1">
      <c r="B182" s="51" t="s">
        <v>112</v>
      </c>
      <c r="C182" s="53"/>
      <c r="D182" s="53"/>
      <c r="E182" s="5">
        <f>0.0135*2*23808</f>
        <v>642.816</v>
      </c>
    </row>
    <row r="183" ht="15">
      <c r="E183" s="16">
        <f>SUM(E147:E182)</f>
        <v>664274.1660360001</v>
      </c>
    </row>
    <row r="184" spans="3:5" ht="12" customHeight="1">
      <c r="C184" s="14" t="s">
        <v>92</v>
      </c>
      <c r="D184" s="73">
        <f>'[2]Лист2'!$D$49</f>
        <v>820010.4999999999</v>
      </c>
      <c r="E184" s="74"/>
    </row>
    <row r="185" spans="3:8" ht="12" customHeight="1">
      <c r="C185" s="14" t="s">
        <v>10</v>
      </c>
      <c r="D185" s="75">
        <f>'[2]Лист2'!$E$49</f>
        <v>831959.18</v>
      </c>
      <c r="E185" s="76"/>
      <c r="H185" s="31"/>
    </row>
    <row r="186" spans="3:5" ht="12" customHeight="1">
      <c r="C186" s="14" t="s">
        <v>11</v>
      </c>
      <c r="D186" s="8">
        <f>E183</f>
        <v>664274.1660360001</v>
      </c>
      <c r="E186" s="19">
        <f>D186*1.18</f>
        <v>783843.5159224801</v>
      </c>
    </row>
    <row r="187" spans="3:5" ht="233.25" customHeight="1">
      <c r="C187" s="14"/>
      <c r="D187" s="9"/>
      <c r="E187" s="21"/>
    </row>
    <row r="188" spans="1:7" s="22" customFormat="1" ht="24" customHeight="1">
      <c r="A188" s="70" t="s">
        <v>60</v>
      </c>
      <c r="B188" s="71"/>
      <c r="C188" s="71"/>
      <c r="D188" s="71"/>
      <c r="E188" s="71"/>
      <c r="F188" s="71"/>
      <c r="G188" s="71"/>
    </row>
    <row r="189" spans="2:5" ht="12" customHeight="1">
      <c r="B189" s="69" t="s">
        <v>0</v>
      </c>
      <c r="C189" s="69"/>
      <c r="D189" s="69"/>
      <c r="E189" s="4"/>
    </row>
    <row r="190" spans="2:5" ht="21" customHeight="1">
      <c r="B190" s="72" t="s">
        <v>1</v>
      </c>
      <c r="C190" s="52"/>
      <c r="D190" s="52"/>
      <c r="E190" s="18"/>
    </row>
    <row r="191" spans="2:5" ht="15" customHeight="1" thickBot="1">
      <c r="B191" s="68" t="s">
        <v>58</v>
      </c>
      <c r="C191" s="52"/>
      <c r="D191" s="52"/>
      <c r="E191" s="52"/>
    </row>
    <row r="192" spans="2:12" ht="23.25" customHeight="1" thickBot="1">
      <c r="B192" s="51" t="s">
        <v>44</v>
      </c>
      <c r="C192" s="53"/>
      <c r="D192" s="53"/>
      <c r="E192" s="17">
        <f>2.05*J192*12+J192*2*2.05+2.05*4*J192</f>
        <v>3140.1899999999996</v>
      </c>
      <c r="H192" s="1">
        <v>79</v>
      </c>
      <c r="I192" s="1">
        <v>3398.7</v>
      </c>
      <c r="J192" s="1">
        <v>85.1</v>
      </c>
      <c r="K192" s="1">
        <v>1232.5</v>
      </c>
      <c r="L192" s="2">
        <v>26</v>
      </c>
    </row>
    <row r="193" spans="2:12" ht="36" customHeight="1">
      <c r="B193" s="51" t="s">
        <v>38</v>
      </c>
      <c r="C193" s="53"/>
      <c r="D193" s="53"/>
      <c r="E193" s="17">
        <f>(I192*2.05*2)</f>
        <v>13934.669999999998</v>
      </c>
      <c r="H193" s="20" t="s">
        <v>34</v>
      </c>
      <c r="I193" s="20" t="s">
        <v>35</v>
      </c>
      <c r="J193" s="20" t="s">
        <v>52</v>
      </c>
      <c r="K193" s="20" t="s">
        <v>36</v>
      </c>
      <c r="L193" s="20" t="s">
        <v>37</v>
      </c>
    </row>
    <row r="194" spans="2:5" ht="12" customHeight="1">
      <c r="B194" s="51" t="s">
        <v>39</v>
      </c>
      <c r="C194" s="53"/>
      <c r="D194" s="53"/>
      <c r="E194" s="17">
        <f>I192*2.05*2</f>
        <v>13934.669999999998</v>
      </c>
    </row>
    <row r="195" spans="2:5" ht="12" customHeight="1" hidden="1">
      <c r="B195" s="51" t="s">
        <v>40</v>
      </c>
      <c r="C195" s="53"/>
      <c r="D195" s="53"/>
      <c r="E195" s="17"/>
    </row>
    <row r="196" spans="2:5" ht="12" customHeight="1">
      <c r="B196" s="51" t="s">
        <v>41</v>
      </c>
      <c r="C196" s="53"/>
      <c r="D196" s="53"/>
      <c r="E196" s="17">
        <f>(3*121.53*2*I192/1000)*3</f>
        <v>7434.792198000001</v>
      </c>
    </row>
    <row r="197" spans="2:5" ht="12" customHeight="1">
      <c r="B197" s="51" t="s">
        <v>19</v>
      </c>
      <c r="C197" s="53"/>
      <c r="D197" s="53"/>
      <c r="E197" s="17">
        <f>12*I192*0.76</f>
        <v>30996.143999999997</v>
      </c>
    </row>
    <row r="198" spans="2:5" ht="12" customHeight="1">
      <c r="B198" s="51" t="s">
        <v>21</v>
      </c>
      <c r="C198" s="53"/>
      <c r="D198" s="53"/>
      <c r="E198" s="17">
        <f>12*I192*4.53</f>
        <v>184753.332</v>
      </c>
    </row>
    <row r="199" spans="2:5" ht="12" customHeight="1">
      <c r="B199" s="51" t="s">
        <v>22</v>
      </c>
      <c r="C199" s="53"/>
      <c r="D199" s="53"/>
      <c r="E199" s="17">
        <f>1*L192*286.7</f>
        <v>7454.2</v>
      </c>
    </row>
    <row r="200" spans="2:5" ht="12" customHeight="1">
      <c r="B200" s="51" t="s">
        <v>20</v>
      </c>
      <c r="C200" s="53"/>
      <c r="D200" s="53"/>
      <c r="E200" s="17">
        <f>12*I192*0.54</f>
        <v>22023.575999999997</v>
      </c>
    </row>
    <row r="201" spans="2:5" ht="12" customHeight="1">
      <c r="B201" s="80" t="s">
        <v>25</v>
      </c>
      <c r="C201" s="81"/>
      <c r="D201" s="81"/>
      <c r="E201" s="17">
        <v>20000</v>
      </c>
    </row>
    <row r="202" spans="2:5" ht="6" customHeight="1">
      <c r="B202" s="64" t="s">
        <v>24</v>
      </c>
      <c r="C202" s="65"/>
      <c r="D202" s="65"/>
      <c r="E202" s="79">
        <f>12*I192*1.41</f>
        <v>57506.003999999986</v>
      </c>
    </row>
    <row r="203" spans="2:5" ht="6" customHeight="1">
      <c r="B203" s="66"/>
      <c r="C203" s="67"/>
      <c r="D203" s="67"/>
      <c r="E203" s="79"/>
    </row>
    <row r="204" spans="2:5" ht="6" customHeight="1">
      <c r="B204" s="64" t="s">
        <v>42</v>
      </c>
      <c r="C204" s="65"/>
      <c r="D204" s="65"/>
      <c r="E204" s="79">
        <f>12*I192*3.78</f>
        <v>154165.03199999998</v>
      </c>
    </row>
    <row r="205" spans="2:5" ht="6" customHeight="1">
      <c r="B205" s="66"/>
      <c r="C205" s="67"/>
      <c r="D205" s="67"/>
      <c r="E205" s="79"/>
    </row>
    <row r="206" spans="2:5" ht="12" customHeight="1">
      <c r="B206" s="56" t="s">
        <v>46</v>
      </c>
      <c r="C206" s="57"/>
      <c r="D206" s="57"/>
      <c r="E206" s="7">
        <f>12*I192*0.37</f>
        <v>15090.227999999997</v>
      </c>
    </row>
    <row r="207" spans="2:5" ht="12" customHeight="1">
      <c r="B207" s="56" t="s">
        <v>47</v>
      </c>
      <c r="C207" s="57"/>
      <c r="D207" s="57"/>
      <c r="E207" s="7">
        <f>H192*2*70%*2*137.35*0.38</f>
        <v>11545.091599999998</v>
      </c>
    </row>
    <row r="208" spans="2:5" ht="12" customHeight="1">
      <c r="B208" s="56" t="s">
        <v>48</v>
      </c>
      <c r="C208" s="57"/>
      <c r="D208" s="57"/>
      <c r="E208" s="7">
        <f>H192*70%*2*137.35*0.38</f>
        <v>5772.545799999999</v>
      </c>
    </row>
    <row r="209" spans="2:5" ht="12" customHeight="1">
      <c r="B209" s="61" t="s">
        <v>4</v>
      </c>
      <c r="C209" s="52"/>
      <c r="D209" s="52"/>
      <c r="E209" s="3">
        <f>68.68*10</f>
        <v>686.8000000000001</v>
      </c>
    </row>
    <row r="210" spans="2:8" ht="12" customHeight="1">
      <c r="B210" s="61" t="s">
        <v>5</v>
      </c>
      <c r="C210" s="52"/>
      <c r="D210" s="52"/>
      <c r="E210" s="3">
        <f>68.68*15</f>
        <v>1030.2</v>
      </c>
      <c r="H210" s="23"/>
    </row>
    <row r="211" spans="2:8" ht="12" customHeight="1">
      <c r="B211" s="61" t="s">
        <v>6</v>
      </c>
      <c r="C211" s="52"/>
      <c r="D211" s="52"/>
      <c r="E211" s="3">
        <f>68.68*14</f>
        <v>961.5200000000001</v>
      </c>
      <c r="H211" s="23"/>
    </row>
    <row r="212" spans="2:5" s="23" customFormat="1" ht="12" customHeight="1">
      <c r="B212" s="56" t="s">
        <v>79</v>
      </c>
      <c r="C212" s="57"/>
      <c r="D212" s="57"/>
      <c r="E212" s="24">
        <f>2006+8000</f>
        <v>10006</v>
      </c>
    </row>
    <row r="213" spans="2:5" s="23" customFormat="1" ht="12" customHeight="1">
      <c r="B213" s="51" t="s">
        <v>8</v>
      </c>
      <c r="C213" s="53"/>
      <c r="D213" s="53"/>
      <c r="E213" s="10">
        <f>10*цены!E13</f>
        <v>801.4</v>
      </c>
    </row>
    <row r="214" spans="2:5" s="23" customFormat="1" ht="12" customHeight="1">
      <c r="B214" s="61" t="s">
        <v>64</v>
      </c>
      <c r="C214" s="52"/>
      <c r="D214" s="52"/>
      <c r="E214" s="3">
        <f>30*цены!E16</f>
        <v>4817.400000000001</v>
      </c>
    </row>
    <row r="215" spans="2:5" s="23" customFormat="1" ht="12" customHeight="1">
      <c r="B215" s="61" t="s">
        <v>81</v>
      </c>
      <c r="C215" s="53"/>
      <c r="D215" s="53"/>
      <c r="E215" s="3">
        <f>цены!E22</f>
        <v>542.01</v>
      </c>
    </row>
    <row r="216" spans="2:5" s="23" customFormat="1" ht="11.25" customHeight="1">
      <c r="B216" s="61" t="s">
        <v>18</v>
      </c>
      <c r="C216" s="52"/>
      <c r="D216" s="52"/>
      <c r="E216" s="3">
        <f>E173</f>
        <v>1285.22</v>
      </c>
    </row>
    <row r="217" spans="2:5" ht="12" customHeight="1">
      <c r="B217" s="61" t="s">
        <v>75</v>
      </c>
      <c r="C217" s="52"/>
      <c r="D217" s="52"/>
      <c r="E217" s="3">
        <f>цены!E49</f>
        <v>1613.3200000000002</v>
      </c>
    </row>
    <row r="218" spans="2:5" s="28" customFormat="1" ht="12" customHeight="1">
      <c r="B218" s="51" t="s">
        <v>13</v>
      </c>
      <c r="C218" s="53"/>
      <c r="D218" s="53"/>
      <c r="E218" s="3">
        <f>25.43*57*2+20*25.43+52*25.43</f>
        <v>4729.98</v>
      </c>
    </row>
    <row r="219" spans="2:5" s="28" customFormat="1" ht="12" customHeight="1">
      <c r="B219" s="61" t="s">
        <v>109</v>
      </c>
      <c r="C219" s="53"/>
      <c r="D219" s="53"/>
      <c r="E219" s="3">
        <f>2272.29</f>
        <v>2272.29</v>
      </c>
    </row>
    <row r="220" spans="2:5" s="28" customFormat="1" ht="12" customHeight="1">
      <c r="B220" s="51" t="s">
        <v>113</v>
      </c>
      <c r="C220" s="53"/>
      <c r="D220" s="53"/>
      <c r="E220" s="5">
        <v>3020</v>
      </c>
    </row>
    <row r="221" ht="15">
      <c r="E221" s="16">
        <f>SUM(E192:E220)</f>
        <v>579516.615598</v>
      </c>
    </row>
    <row r="222" spans="3:5" ht="12" customHeight="1">
      <c r="C222" s="14" t="s">
        <v>93</v>
      </c>
      <c r="D222" s="73">
        <f>'[2]Лист2'!$D$50</f>
        <v>624405.72</v>
      </c>
      <c r="E222" s="74"/>
    </row>
    <row r="223" spans="3:5" ht="12" customHeight="1">
      <c r="C223" s="14" t="s">
        <v>10</v>
      </c>
      <c r="D223" s="75">
        <f>'[2]Лист2'!$E$50</f>
        <v>620767.53</v>
      </c>
      <c r="E223" s="76"/>
    </row>
    <row r="224" spans="3:5" ht="12" customHeight="1">
      <c r="C224" s="14" t="s">
        <v>11</v>
      </c>
      <c r="D224" s="8">
        <f>E221</f>
        <v>579516.615598</v>
      </c>
      <c r="E224" s="19">
        <f>D224*1.18</f>
        <v>683829.60640564</v>
      </c>
    </row>
    <row r="225" spans="3:5" ht="321" customHeight="1">
      <c r="C225" s="14"/>
      <c r="D225" s="9"/>
      <c r="E225" s="21"/>
    </row>
    <row r="226" spans="1:7" s="22" customFormat="1" ht="24" customHeight="1">
      <c r="A226" s="70" t="s">
        <v>60</v>
      </c>
      <c r="B226" s="71"/>
      <c r="C226" s="71"/>
      <c r="D226" s="71"/>
      <c r="E226" s="71"/>
      <c r="F226" s="71"/>
      <c r="G226" s="71"/>
    </row>
    <row r="227" spans="2:5" ht="12" customHeight="1">
      <c r="B227" s="69" t="s">
        <v>0</v>
      </c>
      <c r="C227" s="69"/>
      <c r="D227" s="69"/>
      <c r="E227" s="4"/>
    </row>
    <row r="228" spans="2:5" ht="21" customHeight="1">
      <c r="B228" s="62" t="s">
        <v>1</v>
      </c>
      <c r="C228" s="52"/>
      <c r="D228" s="52"/>
      <c r="E228" s="18"/>
    </row>
    <row r="229" spans="2:5" ht="15" customHeight="1" thickBot="1">
      <c r="B229" s="63" t="s">
        <v>59</v>
      </c>
      <c r="C229" s="52"/>
      <c r="D229" s="52"/>
      <c r="E229" s="52"/>
    </row>
    <row r="230" spans="2:12" ht="23.25" customHeight="1" thickBot="1">
      <c r="B230" s="51" t="s">
        <v>44</v>
      </c>
      <c r="C230" s="53"/>
      <c r="D230" s="53"/>
      <c r="E230" s="17">
        <f>2.05*J230*12+J230*2*2.05+2.05*4*J230</f>
        <v>32479.379999999997</v>
      </c>
      <c r="H230" s="1">
        <v>60</v>
      </c>
      <c r="I230" s="1">
        <v>2550.5</v>
      </c>
      <c r="J230" s="1">
        <v>880.2</v>
      </c>
      <c r="K230" s="1">
        <f>J230</f>
        <v>880.2</v>
      </c>
      <c r="L230" s="2">
        <v>56</v>
      </c>
    </row>
    <row r="231" spans="2:12" ht="36" customHeight="1">
      <c r="B231" s="51" t="s">
        <v>38</v>
      </c>
      <c r="C231" s="53"/>
      <c r="D231" s="53"/>
      <c r="E231" s="17">
        <f>(I230*2.05*2)</f>
        <v>10457.05</v>
      </c>
      <c r="H231" s="20" t="s">
        <v>34</v>
      </c>
      <c r="I231" s="20" t="s">
        <v>35</v>
      </c>
      <c r="J231" s="20" t="s">
        <v>52</v>
      </c>
      <c r="K231" s="20" t="s">
        <v>36</v>
      </c>
      <c r="L231" s="20" t="s">
        <v>37</v>
      </c>
    </row>
    <row r="232" spans="2:5" ht="12" customHeight="1">
      <c r="B232" s="51" t="s">
        <v>39</v>
      </c>
      <c r="C232" s="53"/>
      <c r="D232" s="53"/>
      <c r="E232" s="17">
        <f>I230*2.05*2</f>
        <v>10457.05</v>
      </c>
    </row>
    <row r="233" spans="2:5" ht="12" customHeight="1" hidden="1">
      <c r="B233" s="51" t="s">
        <v>40</v>
      </c>
      <c r="C233" s="53"/>
      <c r="D233" s="53"/>
      <c r="E233" s="17"/>
    </row>
    <row r="234" spans="2:5" ht="12" customHeight="1">
      <c r="B234" s="51" t="s">
        <v>41</v>
      </c>
      <c r="C234" s="53"/>
      <c r="D234" s="53"/>
      <c r="E234" s="17">
        <f>(3*121.53*2*I230/1000)*3</f>
        <v>5579.32077</v>
      </c>
    </row>
    <row r="235" spans="2:5" ht="12" customHeight="1">
      <c r="B235" s="51" t="s">
        <v>19</v>
      </c>
      <c r="C235" s="53"/>
      <c r="D235" s="53"/>
      <c r="E235" s="17">
        <f>12*I230*0.76</f>
        <v>23260.56</v>
      </c>
    </row>
    <row r="236" spans="2:5" ht="12" customHeight="1">
      <c r="B236" s="51" t="s">
        <v>21</v>
      </c>
      <c r="C236" s="53"/>
      <c r="D236" s="53"/>
      <c r="E236" s="17">
        <f>12*I230*4.53</f>
        <v>138645.18000000002</v>
      </c>
    </row>
    <row r="237" spans="2:5" ht="12" customHeight="1">
      <c r="B237" s="51" t="s">
        <v>22</v>
      </c>
      <c r="C237" s="53"/>
      <c r="D237" s="53"/>
      <c r="E237" s="17">
        <f>1*L230*286.7</f>
        <v>16055.199999999999</v>
      </c>
    </row>
    <row r="238" spans="2:5" ht="12" customHeight="1">
      <c r="B238" s="51" t="s">
        <v>20</v>
      </c>
      <c r="C238" s="53"/>
      <c r="D238" s="53"/>
      <c r="E238" s="17">
        <f>12*I230*0.54</f>
        <v>16527.24</v>
      </c>
    </row>
    <row r="239" spans="2:5" ht="12" customHeight="1">
      <c r="B239" s="80" t="s">
        <v>25</v>
      </c>
      <c r="C239" s="81"/>
      <c r="D239" s="81"/>
      <c r="E239" s="17">
        <v>15000</v>
      </c>
    </row>
    <row r="240" spans="2:5" ht="6" customHeight="1">
      <c r="B240" s="64" t="s">
        <v>24</v>
      </c>
      <c r="C240" s="65"/>
      <c r="D240" s="65"/>
      <c r="E240" s="79">
        <f>12*I230*0.82</f>
        <v>25096.92</v>
      </c>
    </row>
    <row r="241" spans="2:5" ht="6" customHeight="1">
      <c r="B241" s="66"/>
      <c r="C241" s="67"/>
      <c r="D241" s="67"/>
      <c r="E241" s="79"/>
    </row>
    <row r="242" spans="2:5" ht="6" customHeight="1">
      <c r="B242" s="64" t="s">
        <v>42</v>
      </c>
      <c r="C242" s="65"/>
      <c r="D242" s="65"/>
      <c r="E242" s="79">
        <f>12*I230*1.63</f>
        <v>49887.78</v>
      </c>
    </row>
    <row r="243" spans="2:5" ht="6" customHeight="1">
      <c r="B243" s="66"/>
      <c r="C243" s="67"/>
      <c r="D243" s="67"/>
      <c r="E243" s="79"/>
    </row>
    <row r="244" spans="2:5" s="23" customFormat="1" ht="12" customHeight="1">
      <c r="B244" s="56" t="s">
        <v>51</v>
      </c>
      <c r="C244" s="57"/>
      <c r="D244" s="57"/>
      <c r="E244" s="24">
        <f>583.28</f>
        <v>583.28</v>
      </c>
    </row>
    <row r="245" spans="2:5" ht="12" customHeight="1">
      <c r="B245" s="56" t="s">
        <v>46</v>
      </c>
      <c r="C245" s="57"/>
      <c r="D245" s="57"/>
      <c r="E245" s="7">
        <f>12*I230*0.37</f>
        <v>11324.22</v>
      </c>
    </row>
    <row r="246" spans="2:5" ht="12" customHeight="1">
      <c r="B246" s="56" t="s">
        <v>47</v>
      </c>
      <c r="C246" s="57"/>
      <c r="D246" s="57"/>
      <c r="E246" s="7">
        <f>H230*2*70%*2*137.35*0.38</f>
        <v>8768.423999999999</v>
      </c>
    </row>
    <row r="247" spans="2:5" ht="12" customHeight="1">
      <c r="B247" s="56" t="s">
        <v>48</v>
      </c>
      <c r="C247" s="57"/>
      <c r="D247" s="57"/>
      <c r="E247" s="7">
        <f>H230*70%*2*137.35*0.38</f>
        <v>4384.2119999999995</v>
      </c>
    </row>
    <row r="248" spans="2:5" ht="12" customHeight="1">
      <c r="B248" s="51" t="s">
        <v>49</v>
      </c>
      <c r="C248" s="52"/>
      <c r="D248" s="52"/>
      <c r="E248" s="3">
        <f>68.68*10</f>
        <v>686.8000000000001</v>
      </c>
    </row>
    <row r="249" spans="2:8" ht="12" customHeight="1">
      <c r="B249" s="51" t="s">
        <v>5</v>
      </c>
      <c r="C249" s="52"/>
      <c r="D249" s="52"/>
      <c r="E249" s="3">
        <f>68.68*28</f>
        <v>1923.0400000000002</v>
      </c>
      <c r="H249" s="23"/>
    </row>
    <row r="250" spans="2:8" ht="12" customHeight="1">
      <c r="B250" s="51" t="s">
        <v>50</v>
      </c>
      <c r="C250" s="52"/>
      <c r="D250" s="52"/>
      <c r="E250" s="3">
        <f>68.68*11</f>
        <v>755.48</v>
      </c>
      <c r="H250" s="23"/>
    </row>
    <row r="251" spans="2:5" s="25" customFormat="1" ht="12" customHeight="1">
      <c r="B251" s="82" t="s">
        <v>61</v>
      </c>
      <c r="C251" s="87"/>
      <c r="D251" s="87"/>
      <c r="E251" s="26">
        <v>26358.31</v>
      </c>
    </row>
    <row r="252" spans="2:5" s="23" customFormat="1" ht="11.25" customHeight="1">
      <c r="B252" s="61" t="s">
        <v>18</v>
      </c>
      <c r="C252" s="52"/>
      <c r="D252" s="52"/>
      <c r="E252" s="3">
        <f>2*цены!E37</f>
        <v>2570.44</v>
      </c>
    </row>
    <row r="253" spans="2:5" s="23" customFormat="1" ht="12" customHeight="1">
      <c r="B253" s="61" t="s">
        <v>17</v>
      </c>
      <c r="C253" s="52"/>
      <c r="D253" s="52"/>
      <c r="E253" s="3">
        <f>2*цены!E28</f>
        <v>1258.04</v>
      </c>
    </row>
    <row r="254" spans="2:5" ht="12" customHeight="1">
      <c r="B254" s="61" t="s">
        <v>7</v>
      </c>
      <c r="C254" s="52"/>
      <c r="D254" s="52"/>
      <c r="E254" s="3">
        <f>2*цены!E29</f>
        <v>1457.4</v>
      </c>
    </row>
    <row r="255" spans="2:5" ht="12" customHeight="1">
      <c r="B255" s="61" t="s">
        <v>23</v>
      </c>
      <c r="C255" s="52"/>
      <c r="D255" s="52"/>
      <c r="E255" s="3">
        <f>цены!E31*8</f>
        <v>7260.8</v>
      </c>
    </row>
    <row r="256" spans="2:5" ht="12" customHeight="1">
      <c r="B256" s="51" t="s">
        <v>3</v>
      </c>
      <c r="C256" s="52"/>
      <c r="D256" s="52"/>
      <c r="E256" s="3">
        <f>2*цены!E40</f>
        <v>964.76</v>
      </c>
    </row>
    <row r="257" spans="2:5" s="28" customFormat="1" ht="12" customHeight="1">
      <c r="B257" s="51" t="s">
        <v>13</v>
      </c>
      <c r="C257" s="53"/>
      <c r="D257" s="53"/>
      <c r="E257" s="3">
        <f>25.43*57*2+20*25.43+52*25.43+5000</f>
        <v>9729.98</v>
      </c>
    </row>
    <row r="258" spans="2:5" s="28" customFormat="1" ht="11.25" customHeight="1">
      <c r="B258" s="51" t="s">
        <v>99</v>
      </c>
      <c r="C258" s="52"/>
      <c r="D258" s="52"/>
      <c r="E258" s="5">
        <f>596.29*1.98*5</f>
        <v>5903.271</v>
      </c>
    </row>
    <row r="259" spans="2:5" s="28" customFormat="1" ht="12" customHeight="1">
      <c r="B259" s="51" t="s">
        <v>107</v>
      </c>
      <c r="C259" s="53"/>
      <c r="D259" s="53"/>
      <c r="E259" s="3">
        <v>657.46</v>
      </c>
    </row>
    <row r="260" spans="2:5" s="28" customFormat="1" ht="12" customHeight="1">
      <c r="B260" s="56" t="s">
        <v>111</v>
      </c>
      <c r="C260" s="57"/>
      <c r="D260" s="57"/>
      <c r="E260" s="3">
        <v>5665.25</v>
      </c>
    </row>
    <row r="261" spans="2:5" s="28" customFormat="1" ht="12" customHeight="1">
      <c r="B261" s="51" t="s">
        <v>12</v>
      </c>
      <c r="C261" s="53"/>
      <c r="D261" s="53"/>
      <c r="E261" s="3">
        <f>1540*1</f>
        <v>1540</v>
      </c>
    </row>
    <row r="262" spans="2:5" ht="12" customHeight="1">
      <c r="B262" s="51" t="s">
        <v>115</v>
      </c>
      <c r="C262" s="52"/>
      <c r="D262" s="52"/>
      <c r="E262" s="3">
        <v>27887.97</v>
      </c>
    </row>
    <row r="263" ht="15">
      <c r="E263" s="16">
        <f>SUM(E230:E262)</f>
        <v>463124.81776999997</v>
      </c>
    </row>
    <row r="264" spans="3:5" ht="12" customHeight="1">
      <c r="C264" s="14" t="s">
        <v>93</v>
      </c>
      <c r="D264" s="73">
        <f>'[2]Лист2'!$D$51</f>
        <v>468564.7299999999</v>
      </c>
      <c r="E264" s="74"/>
    </row>
    <row r="265" spans="3:5" ht="12" customHeight="1">
      <c r="C265" s="14" t="s">
        <v>10</v>
      </c>
      <c r="D265" s="75">
        <f>'[2]Лист2'!$E$51</f>
        <v>473441.14</v>
      </c>
      <c r="E265" s="76"/>
    </row>
    <row r="266" spans="3:5" ht="12" customHeight="1">
      <c r="C266" s="14" t="s">
        <v>11</v>
      </c>
      <c r="D266" s="8">
        <f>E263</f>
        <v>463124.81776999997</v>
      </c>
      <c r="E266" s="6">
        <f>D266*1.18</f>
        <v>546487.2849685999</v>
      </c>
    </row>
    <row r="267" spans="3:5" ht="238.5" customHeight="1">
      <c r="C267" s="14"/>
      <c r="D267" s="9"/>
      <c r="E267" s="13"/>
    </row>
  </sheetData>
  <sheetProtection password="CCE3" sheet="1" objects="1" scenarios="1" selectLockedCells="1" selectUnlockedCells="1"/>
  <mergeCells count="250">
    <mergeCell ref="H3:L3"/>
    <mergeCell ref="B251:D251"/>
    <mergeCell ref="B260:D260"/>
    <mergeCell ref="B261:D261"/>
    <mergeCell ref="B38:D38"/>
    <mergeCell ref="B41:D41"/>
    <mergeCell ref="B181:D181"/>
    <mergeCell ref="B246:D246"/>
    <mergeCell ref="B247:D247"/>
    <mergeCell ref="B248:D248"/>
    <mergeCell ref="B262:D262"/>
    <mergeCell ref="D265:E265"/>
    <mergeCell ref="D264:E264"/>
    <mergeCell ref="B255:D255"/>
    <mergeCell ref="B256:D256"/>
    <mergeCell ref="B257:D257"/>
    <mergeCell ref="B258:D258"/>
    <mergeCell ref="B259:D259"/>
    <mergeCell ref="B253:D253"/>
    <mergeCell ref="B249:D249"/>
    <mergeCell ref="B250:D250"/>
    <mergeCell ref="B252:D252"/>
    <mergeCell ref="B254:D254"/>
    <mergeCell ref="B239:D239"/>
    <mergeCell ref="B240:D241"/>
    <mergeCell ref="E240:E241"/>
    <mergeCell ref="B242:D243"/>
    <mergeCell ref="E242:E243"/>
    <mergeCell ref="B245:D245"/>
    <mergeCell ref="B244:D244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E229"/>
    <mergeCell ref="B230:D230"/>
    <mergeCell ref="B231:D231"/>
    <mergeCell ref="B232:D232"/>
    <mergeCell ref="B217:D217"/>
    <mergeCell ref="B219:D219"/>
    <mergeCell ref="B220:D220"/>
    <mergeCell ref="D222:E222"/>
    <mergeCell ref="D223:E223"/>
    <mergeCell ref="A226:G226"/>
    <mergeCell ref="B218:D218"/>
    <mergeCell ref="B207:D207"/>
    <mergeCell ref="B208:D208"/>
    <mergeCell ref="B216:D216"/>
    <mergeCell ref="B209:D209"/>
    <mergeCell ref="B210:D210"/>
    <mergeCell ref="B211:D211"/>
    <mergeCell ref="B213:D213"/>
    <mergeCell ref="B214:D214"/>
    <mergeCell ref="B215:D215"/>
    <mergeCell ref="B201:D201"/>
    <mergeCell ref="B202:D203"/>
    <mergeCell ref="E202:E203"/>
    <mergeCell ref="B204:D205"/>
    <mergeCell ref="E204:E205"/>
    <mergeCell ref="B206:D206"/>
    <mergeCell ref="B195:D195"/>
    <mergeCell ref="B196:D196"/>
    <mergeCell ref="B197:D197"/>
    <mergeCell ref="B198:D198"/>
    <mergeCell ref="B199:D199"/>
    <mergeCell ref="B200:D200"/>
    <mergeCell ref="B189:D189"/>
    <mergeCell ref="B190:D190"/>
    <mergeCell ref="B191:E191"/>
    <mergeCell ref="B192:D192"/>
    <mergeCell ref="B193:D193"/>
    <mergeCell ref="B194:D194"/>
    <mergeCell ref="B180:D180"/>
    <mergeCell ref="B182:D182"/>
    <mergeCell ref="D184:E184"/>
    <mergeCell ref="D185:E185"/>
    <mergeCell ref="A188:G188"/>
    <mergeCell ref="B176:D176"/>
    <mergeCell ref="B177:D177"/>
    <mergeCell ref="B179:D179"/>
    <mergeCell ref="B164:D164"/>
    <mergeCell ref="B165:D165"/>
    <mergeCell ref="B166:D166"/>
    <mergeCell ref="B171:D171"/>
    <mergeCell ref="B172:D172"/>
    <mergeCell ref="B173:D173"/>
    <mergeCell ref="B167:D167"/>
    <mergeCell ref="B168:D168"/>
    <mergeCell ref="B169:D169"/>
    <mergeCell ref="B170:D170"/>
    <mergeCell ref="B174:D174"/>
    <mergeCell ref="B28:D28"/>
    <mergeCell ref="B154:D154"/>
    <mergeCell ref="E157:E158"/>
    <mergeCell ref="B157:D158"/>
    <mergeCell ref="B145:D145"/>
    <mergeCell ref="B146:E146"/>
    <mergeCell ref="B147:D147"/>
    <mergeCell ref="B39:D39"/>
    <mergeCell ref="B159:D160"/>
    <mergeCell ref="E159:E160"/>
    <mergeCell ref="B161:D161"/>
    <mergeCell ref="B162:D162"/>
    <mergeCell ref="B163:D163"/>
    <mergeCell ref="B151:D151"/>
    <mergeCell ref="B152:D152"/>
    <mergeCell ref="B153:D153"/>
    <mergeCell ref="B155:D155"/>
    <mergeCell ref="B156:D156"/>
    <mergeCell ref="B150:D150"/>
    <mergeCell ref="B137:D137"/>
    <mergeCell ref="D139:E139"/>
    <mergeCell ref="D140:E140"/>
    <mergeCell ref="A143:G143"/>
    <mergeCell ref="B144:D144"/>
    <mergeCell ref="B136:D136"/>
    <mergeCell ref="B129:D129"/>
    <mergeCell ref="B130:D130"/>
    <mergeCell ref="B131:D131"/>
    <mergeCell ref="B148:D148"/>
    <mergeCell ref="B149:D149"/>
    <mergeCell ref="B125:D125"/>
    <mergeCell ref="B126:D126"/>
    <mergeCell ref="B132:D132"/>
    <mergeCell ref="B133:D133"/>
    <mergeCell ref="B134:D134"/>
    <mergeCell ref="B135:D135"/>
    <mergeCell ref="B112:D112"/>
    <mergeCell ref="B113:D113"/>
    <mergeCell ref="B121:D121"/>
    <mergeCell ref="B122:D122"/>
    <mergeCell ref="B123:D123"/>
    <mergeCell ref="B124:D124"/>
    <mergeCell ref="B105:D105"/>
    <mergeCell ref="B106:D107"/>
    <mergeCell ref="E106:E107"/>
    <mergeCell ref="B114:D114"/>
    <mergeCell ref="B115:D115"/>
    <mergeCell ref="B116:D116"/>
    <mergeCell ref="B108:D109"/>
    <mergeCell ref="E108:E109"/>
    <mergeCell ref="B110:D110"/>
    <mergeCell ref="B111:D111"/>
    <mergeCell ref="B99:D99"/>
    <mergeCell ref="B100:D100"/>
    <mergeCell ref="B101:D101"/>
    <mergeCell ref="B102:D102"/>
    <mergeCell ref="B103:D103"/>
    <mergeCell ref="B104:D104"/>
    <mergeCell ref="B69:D69"/>
    <mergeCell ref="D88:E88"/>
    <mergeCell ref="D89:E89"/>
    <mergeCell ref="E62:E63"/>
    <mergeCell ref="B64:D65"/>
    <mergeCell ref="E64:E65"/>
    <mergeCell ref="B70:D70"/>
    <mergeCell ref="B72:D72"/>
    <mergeCell ref="B66:D66"/>
    <mergeCell ref="B67:D67"/>
    <mergeCell ref="B54:D54"/>
    <mergeCell ref="B55:D55"/>
    <mergeCell ref="B56:D56"/>
    <mergeCell ref="B71:D71"/>
    <mergeCell ref="B68:D68"/>
    <mergeCell ref="B57:D57"/>
    <mergeCell ref="B58:D58"/>
    <mergeCell ref="B59:D59"/>
    <mergeCell ref="B60:D60"/>
    <mergeCell ref="B61:D61"/>
    <mergeCell ref="B33:D33"/>
    <mergeCell ref="B25:D25"/>
    <mergeCell ref="B26:D26"/>
    <mergeCell ref="B27:D27"/>
    <mergeCell ref="B29:D29"/>
    <mergeCell ref="B30:D30"/>
    <mergeCell ref="B32:D32"/>
    <mergeCell ref="E15:E16"/>
    <mergeCell ref="B17:D18"/>
    <mergeCell ref="E17:E18"/>
    <mergeCell ref="B22:D22"/>
    <mergeCell ref="B23:D23"/>
    <mergeCell ref="B31:D31"/>
    <mergeCell ref="B12:D12"/>
    <mergeCell ref="B13:D13"/>
    <mergeCell ref="B14:D14"/>
    <mergeCell ref="B24:D24"/>
    <mergeCell ref="B19:D19"/>
    <mergeCell ref="B20:D20"/>
    <mergeCell ref="B21:D21"/>
    <mergeCell ref="B15:D16"/>
    <mergeCell ref="B6:D6"/>
    <mergeCell ref="B7:D7"/>
    <mergeCell ref="B8:D8"/>
    <mergeCell ref="B9:D9"/>
    <mergeCell ref="B10:D10"/>
    <mergeCell ref="B11:D11"/>
    <mergeCell ref="B212:D212"/>
    <mergeCell ref="B120:D120"/>
    <mergeCell ref="B118:D118"/>
    <mergeCell ref="B42:D42"/>
    <mergeCell ref="D44:E44"/>
    <mergeCell ref="D45:E45"/>
    <mergeCell ref="B86:D86"/>
    <mergeCell ref="A92:G92"/>
    <mergeCell ref="B52:D52"/>
    <mergeCell ref="B53:D53"/>
    <mergeCell ref="B73:D73"/>
    <mergeCell ref="B74:D74"/>
    <mergeCell ref="B75:D75"/>
    <mergeCell ref="B79:D79"/>
    <mergeCell ref="B80:D80"/>
    <mergeCell ref="A1:G1"/>
    <mergeCell ref="B2:D2"/>
    <mergeCell ref="B3:D3"/>
    <mergeCell ref="B4:E4"/>
    <mergeCell ref="B5:D5"/>
    <mergeCell ref="B36:D36"/>
    <mergeCell ref="B40:D40"/>
    <mergeCell ref="B76:D76"/>
    <mergeCell ref="B62:D63"/>
    <mergeCell ref="B51:E51"/>
    <mergeCell ref="B127:D127"/>
    <mergeCell ref="B93:D93"/>
    <mergeCell ref="A48:G48"/>
    <mergeCell ref="B49:D49"/>
    <mergeCell ref="B50:D50"/>
    <mergeCell ref="B77:D77"/>
    <mergeCell ref="B119:D119"/>
    <mergeCell ref="B81:D81"/>
    <mergeCell ref="B82:D82"/>
    <mergeCell ref="B85:D85"/>
    <mergeCell ref="B94:D94"/>
    <mergeCell ref="B95:E95"/>
    <mergeCell ref="B96:D96"/>
    <mergeCell ref="B97:D97"/>
    <mergeCell ref="B98:D98"/>
    <mergeCell ref="B34:D34"/>
    <mergeCell ref="B35:D35"/>
    <mergeCell ref="B83:D83"/>
    <mergeCell ref="B178:D178"/>
    <mergeCell ref="B37:D37"/>
    <mergeCell ref="B84:D84"/>
    <mergeCell ref="B78:D78"/>
    <mergeCell ref="B117:D117"/>
    <mergeCell ref="B175:D175"/>
    <mergeCell ref="B128:D128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40" customWidth="1"/>
    <col min="4" max="4" width="22.7109375" style="40" customWidth="1"/>
    <col min="5" max="5" width="11.421875" style="40" bestFit="1" customWidth="1"/>
    <col min="6" max="16384" width="9.140625" style="40" customWidth="1"/>
  </cols>
  <sheetData>
    <row r="1" spans="2:5" s="37" customFormat="1" ht="37.5" customHeight="1">
      <c r="B1" s="88" t="s">
        <v>44</v>
      </c>
      <c r="C1" s="88"/>
      <c r="D1" s="88"/>
      <c r="E1" s="37">
        <v>2.05</v>
      </c>
    </row>
    <row r="2" spans="2:5" s="37" customFormat="1" ht="46.5" customHeight="1">
      <c r="B2" s="88" t="s">
        <v>38</v>
      </c>
      <c r="C2" s="88"/>
      <c r="D2" s="88"/>
      <c r="E2" s="37">
        <v>2.05</v>
      </c>
    </row>
    <row r="3" spans="2:5" s="37" customFormat="1" ht="12" customHeight="1">
      <c r="B3" s="88" t="s">
        <v>39</v>
      </c>
      <c r="C3" s="88"/>
      <c r="D3" s="88"/>
      <c r="E3" s="37">
        <v>2.05</v>
      </c>
    </row>
    <row r="4" spans="2:5" s="37" customFormat="1" ht="22.5" customHeight="1">
      <c r="B4" s="88" t="s">
        <v>41</v>
      </c>
      <c r="C4" s="88"/>
      <c r="D4" s="88"/>
      <c r="E4" s="38">
        <v>121.53</v>
      </c>
    </row>
    <row r="5" spans="2:5" s="37" customFormat="1" ht="12" customHeight="1">
      <c r="B5" s="88" t="s">
        <v>19</v>
      </c>
      <c r="C5" s="88"/>
      <c r="D5" s="88"/>
      <c r="E5" s="38">
        <v>0.76</v>
      </c>
    </row>
    <row r="6" spans="2:5" s="37" customFormat="1" ht="12" customHeight="1">
      <c r="B6" s="88" t="s">
        <v>21</v>
      </c>
      <c r="C6" s="88"/>
      <c r="D6" s="88"/>
      <c r="E6" s="38">
        <v>4.53</v>
      </c>
    </row>
    <row r="7" spans="2:5" s="37" customFormat="1" ht="12" customHeight="1">
      <c r="B7" s="88" t="s">
        <v>22</v>
      </c>
      <c r="C7" s="88"/>
      <c r="D7" s="88"/>
      <c r="E7" s="38">
        <v>286.7</v>
      </c>
    </row>
    <row r="8" spans="2:5" s="37" customFormat="1" ht="22.5" customHeight="1">
      <c r="B8" s="88" t="s">
        <v>46</v>
      </c>
      <c r="C8" s="88"/>
      <c r="D8" s="88"/>
      <c r="E8" s="38">
        <v>0.37</v>
      </c>
    </row>
    <row r="9" spans="2:5" s="37" customFormat="1" ht="12" customHeight="1">
      <c r="B9" s="88" t="s">
        <v>20</v>
      </c>
      <c r="C9" s="88"/>
      <c r="D9" s="88"/>
      <c r="E9" s="38">
        <v>0.54</v>
      </c>
    </row>
    <row r="10" spans="2:5" s="37" customFormat="1" ht="12" customHeight="1">
      <c r="B10" s="88"/>
      <c r="C10" s="88"/>
      <c r="D10" s="88"/>
      <c r="E10" s="38"/>
    </row>
    <row r="11" spans="2:5" s="37" customFormat="1" ht="12" customHeight="1">
      <c r="B11" s="88"/>
      <c r="C11" s="88"/>
      <c r="D11" s="88"/>
      <c r="E11" s="38"/>
    </row>
    <row r="12" ht="15">
      <c r="B12" s="39" t="s">
        <v>67</v>
      </c>
    </row>
    <row r="13" spans="2:5" s="37" customFormat="1" ht="12" customHeight="1">
      <c r="B13" s="88" t="s">
        <v>8</v>
      </c>
      <c r="C13" s="88"/>
      <c r="D13" s="88"/>
      <c r="E13" s="41">
        <f>80.14</f>
        <v>80.14</v>
      </c>
    </row>
    <row r="14" spans="2:5" s="37" customFormat="1" ht="12" customHeight="1">
      <c r="B14" s="88" t="s">
        <v>68</v>
      </c>
      <c r="C14" s="88"/>
      <c r="D14" s="88"/>
      <c r="E14" s="41">
        <f>1271+428.51</f>
        <v>1699.51</v>
      </c>
    </row>
    <row r="15" spans="2:5" s="37" customFormat="1" ht="12" customHeight="1">
      <c r="B15" s="88" t="s">
        <v>63</v>
      </c>
      <c r="C15" s="88"/>
      <c r="D15" s="88"/>
      <c r="E15" s="38">
        <v>141.22</v>
      </c>
    </row>
    <row r="16" spans="2:5" s="37" customFormat="1" ht="12" customHeight="1">
      <c r="B16" s="88" t="s">
        <v>64</v>
      </c>
      <c r="C16" s="88"/>
      <c r="D16" s="88"/>
      <c r="E16" s="38">
        <v>160.58</v>
      </c>
    </row>
    <row r="17" spans="2:5" s="37" customFormat="1" ht="12" customHeight="1">
      <c r="B17" s="88" t="s">
        <v>65</v>
      </c>
      <c r="C17" s="88"/>
      <c r="D17" s="88"/>
      <c r="E17" s="38">
        <v>50</v>
      </c>
    </row>
    <row r="18" spans="2:5" s="37" customFormat="1" ht="12" customHeight="1">
      <c r="B18" s="88" t="s">
        <v>66</v>
      </c>
      <c r="C18" s="88"/>
      <c r="D18" s="88"/>
      <c r="E18" s="38">
        <v>558.75</v>
      </c>
    </row>
    <row r="19" spans="2:5" s="37" customFormat="1" ht="12" customHeight="1">
      <c r="B19" s="88" t="s">
        <v>14</v>
      </c>
      <c r="C19" s="88"/>
      <c r="D19" s="88"/>
      <c r="E19" s="38">
        <v>112</v>
      </c>
    </row>
    <row r="20" spans="2:5" s="37" customFormat="1" ht="12" customHeight="1">
      <c r="B20" s="88" t="s">
        <v>14</v>
      </c>
      <c r="C20" s="88"/>
      <c r="D20" s="88"/>
      <c r="E20" s="38">
        <v>112</v>
      </c>
    </row>
    <row r="21" spans="2:5" s="37" customFormat="1" ht="12" customHeight="1">
      <c r="B21" s="88" t="s">
        <v>80</v>
      </c>
      <c r="C21" s="88"/>
      <c r="D21" s="88"/>
      <c r="E21" s="38">
        <v>731.09</v>
      </c>
    </row>
    <row r="22" spans="2:5" s="37" customFormat="1" ht="36" customHeight="1">
      <c r="B22" s="88" t="s">
        <v>81</v>
      </c>
      <c r="C22" s="88"/>
      <c r="D22" s="88"/>
      <c r="E22" s="38">
        <v>542.01</v>
      </c>
    </row>
    <row r="23" spans="2:5" s="37" customFormat="1" ht="12" customHeight="1">
      <c r="B23" s="88" t="s">
        <v>28</v>
      </c>
      <c r="C23" s="88"/>
      <c r="D23" s="88"/>
      <c r="E23" s="38">
        <v>3820</v>
      </c>
    </row>
    <row r="24" spans="2:5" s="37" customFormat="1" ht="12" customHeight="1">
      <c r="B24" s="88" t="s">
        <v>82</v>
      </c>
      <c r="C24" s="88"/>
      <c r="D24" s="88"/>
      <c r="E24" s="38">
        <v>556.16</v>
      </c>
    </row>
    <row r="25" spans="2:5" s="37" customFormat="1" ht="12" customHeight="1">
      <c r="B25" s="88" t="s">
        <v>91</v>
      </c>
      <c r="C25" s="88"/>
      <c r="D25" s="88"/>
      <c r="E25" s="38">
        <v>580.1</v>
      </c>
    </row>
    <row r="26" spans="2:5" s="37" customFormat="1" ht="12" customHeight="1">
      <c r="B26" s="42"/>
      <c r="C26" s="42"/>
      <c r="D26" s="42"/>
      <c r="E26" s="38"/>
    </row>
    <row r="27" spans="2:5" s="37" customFormat="1" ht="25.5" customHeight="1">
      <c r="B27" s="88" t="s">
        <v>30</v>
      </c>
      <c r="C27" s="88"/>
      <c r="D27" s="88"/>
      <c r="E27" s="38">
        <v>577.18</v>
      </c>
    </row>
    <row r="28" spans="2:5" s="37" customFormat="1" ht="24.75" customHeight="1">
      <c r="B28" s="88" t="s">
        <v>17</v>
      </c>
      <c r="C28" s="88"/>
      <c r="D28" s="88"/>
      <c r="E28" s="38">
        <v>629.02</v>
      </c>
    </row>
    <row r="29" spans="2:5" s="37" customFormat="1" ht="24.75" customHeight="1">
      <c r="B29" s="88" t="s">
        <v>7</v>
      </c>
      <c r="C29" s="88"/>
      <c r="D29" s="88"/>
      <c r="E29" s="38">
        <v>728.7</v>
      </c>
    </row>
    <row r="30" spans="2:5" s="37" customFormat="1" ht="24.75" customHeight="1">
      <c r="B30" s="88" t="s">
        <v>69</v>
      </c>
      <c r="C30" s="88"/>
      <c r="D30" s="88"/>
      <c r="E30" s="38">
        <v>783.57</v>
      </c>
    </row>
    <row r="31" spans="2:5" s="37" customFormat="1" ht="24.75" customHeight="1">
      <c r="B31" s="88" t="s">
        <v>23</v>
      </c>
      <c r="C31" s="88"/>
      <c r="D31" s="88"/>
      <c r="E31" s="38">
        <v>907.6</v>
      </c>
    </row>
    <row r="32" spans="2:5" s="37" customFormat="1" ht="24.75" customHeight="1">
      <c r="B32" s="88" t="s">
        <v>27</v>
      </c>
      <c r="C32" s="88"/>
      <c r="D32" s="88"/>
      <c r="E32" s="38">
        <v>1098.59</v>
      </c>
    </row>
    <row r="33" spans="2:5" s="37" customFormat="1" ht="24.75" customHeight="1">
      <c r="B33" s="88" t="s">
        <v>31</v>
      </c>
      <c r="C33" s="88"/>
      <c r="D33" s="88"/>
      <c r="E33" s="38">
        <v>1917.18</v>
      </c>
    </row>
    <row r="34" spans="2:5" s="37" customFormat="1" ht="24.75" customHeight="1">
      <c r="B34" s="88" t="s">
        <v>70</v>
      </c>
      <c r="C34" s="88"/>
      <c r="D34" s="88"/>
      <c r="E34" s="38">
        <f>E33</f>
        <v>1917.18</v>
      </c>
    </row>
    <row r="35" spans="2:5" s="37" customFormat="1" ht="12" customHeight="1">
      <c r="B35" s="88"/>
      <c r="C35" s="88"/>
      <c r="D35" s="88"/>
      <c r="E35" s="38"/>
    </row>
    <row r="36" spans="2:5" s="37" customFormat="1" ht="12" customHeight="1">
      <c r="B36" s="88"/>
      <c r="C36" s="88"/>
      <c r="D36" s="88"/>
      <c r="E36" s="38"/>
    </row>
    <row r="37" spans="2:5" s="37" customFormat="1" ht="42" customHeight="1">
      <c r="B37" s="88" t="s">
        <v>18</v>
      </c>
      <c r="C37" s="88"/>
      <c r="D37" s="88"/>
      <c r="E37" s="38">
        <v>1285.22</v>
      </c>
    </row>
    <row r="38" spans="2:5" s="37" customFormat="1" ht="24.75" customHeight="1">
      <c r="B38" s="88" t="s">
        <v>9</v>
      </c>
      <c r="C38" s="88"/>
      <c r="D38" s="88"/>
      <c r="E38" s="38">
        <v>223.42</v>
      </c>
    </row>
    <row r="39" spans="2:5" s="37" customFormat="1" ht="24.75" customHeight="1">
      <c r="B39" s="43"/>
      <c r="C39" s="43"/>
      <c r="D39" s="43"/>
      <c r="E39" s="38"/>
    </row>
    <row r="40" spans="2:5" s="37" customFormat="1" ht="22.5" customHeight="1">
      <c r="B40" s="88" t="s">
        <v>3</v>
      </c>
      <c r="C40" s="88"/>
      <c r="D40" s="88"/>
      <c r="E40" s="38">
        <v>482.38</v>
      </c>
    </row>
    <row r="41" spans="2:5" s="37" customFormat="1" ht="22.5" customHeight="1">
      <c r="B41" s="43"/>
      <c r="C41" s="43"/>
      <c r="D41" s="43"/>
      <c r="E41" s="38"/>
    </row>
    <row r="42" spans="2:5" s="37" customFormat="1" ht="37.5" customHeight="1">
      <c r="B42" s="88" t="s">
        <v>29</v>
      </c>
      <c r="C42" s="88"/>
      <c r="D42" s="88"/>
      <c r="E42" s="38">
        <v>1541.75</v>
      </c>
    </row>
    <row r="43" spans="2:5" s="37" customFormat="1" ht="37.5" customHeight="1">
      <c r="B43" s="88" t="s">
        <v>2</v>
      </c>
      <c r="C43" s="88"/>
      <c r="D43" s="88"/>
      <c r="E43" s="38">
        <v>1730.92</v>
      </c>
    </row>
    <row r="44" spans="2:5" s="37" customFormat="1" ht="37.5" customHeight="1">
      <c r="B44" s="88" t="s">
        <v>26</v>
      </c>
      <c r="C44" s="88"/>
      <c r="D44" s="88"/>
      <c r="E44" s="38">
        <v>2554.33</v>
      </c>
    </row>
    <row r="45" spans="2:5" s="37" customFormat="1" ht="37.5" customHeight="1">
      <c r="B45" s="88" t="s">
        <v>72</v>
      </c>
      <c r="C45" s="88"/>
      <c r="D45" s="88"/>
      <c r="E45" s="38">
        <v>2623.43</v>
      </c>
    </row>
    <row r="46" spans="2:5" s="37" customFormat="1" ht="37.5" customHeight="1">
      <c r="B46" s="88" t="s">
        <v>71</v>
      </c>
      <c r="C46" s="88"/>
      <c r="D46" s="88"/>
      <c r="E46" s="38">
        <v>2719.26</v>
      </c>
    </row>
    <row r="47" spans="2:5" s="37" customFormat="1" ht="14.25" customHeight="1">
      <c r="B47" s="88" t="s">
        <v>73</v>
      </c>
      <c r="C47" s="88"/>
      <c r="D47" s="88"/>
      <c r="E47" s="38">
        <v>2096.57</v>
      </c>
    </row>
    <row r="48" spans="2:5" s="37" customFormat="1" ht="15">
      <c r="B48" s="88" t="s">
        <v>74</v>
      </c>
      <c r="C48" s="88"/>
      <c r="D48" s="88"/>
      <c r="E48" s="38">
        <f>E54*2</f>
        <v>1441.68</v>
      </c>
    </row>
    <row r="49" spans="2:5" s="37" customFormat="1" ht="15">
      <c r="B49" s="88" t="s">
        <v>75</v>
      </c>
      <c r="C49" s="88"/>
      <c r="D49" s="88"/>
      <c r="E49" s="38">
        <f>E54+E55</f>
        <v>1613.3200000000002</v>
      </c>
    </row>
    <row r="50" spans="2:5" s="37" customFormat="1" ht="14.25" customHeight="1">
      <c r="B50" s="88" t="s">
        <v>33</v>
      </c>
      <c r="C50" s="88"/>
      <c r="D50" s="88"/>
      <c r="E50" s="38">
        <f>E54+E56</f>
        <v>1719.76</v>
      </c>
    </row>
    <row r="51" spans="2:5" s="37" customFormat="1" ht="14.25" customHeight="1">
      <c r="B51" s="88" t="s">
        <v>53</v>
      </c>
      <c r="C51" s="88"/>
      <c r="D51" s="88"/>
      <c r="E51" s="38">
        <f>E54+E57</f>
        <v>1761.5619003228362</v>
      </c>
    </row>
    <row r="52" spans="2:5" s="37" customFormat="1" ht="14.25" customHeight="1">
      <c r="B52" s="88" t="s">
        <v>94</v>
      </c>
      <c r="C52" s="88"/>
      <c r="D52" s="88"/>
      <c r="E52" s="38">
        <v>2540</v>
      </c>
    </row>
    <row r="53" spans="2:5" s="37" customFormat="1" ht="12" customHeight="1">
      <c r="B53" s="88"/>
      <c r="C53" s="88"/>
      <c r="D53" s="88"/>
      <c r="E53" s="38"/>
    </row>
    <row r="54" spans="2:5" s="37" customFormat="1" ht="15">
      <c r="B54" s="88" t="s">
        <v>84</v>
      </c>
      <c r="C54" s="88"/>
      <c r="D54" s="88"/>
      <c r="E54" s="38">
        <v>720.84</v>
      </c>
    </row>
    <row r="55" spans="2:5" s="37" customFormat="1" ht="15" customHeight="1">
      <c r="B55" s="88" t="s">
        <v>85</v>
      </c>
      <c r="C55" s="88"/>
      <c r="D55" s="88"/>
      <c r="E55" s="38">
        <v>892.48</v>
      </c>
    </row>
    <row r="56" spans="2:5" s="37" customFormat="1" ht="14.25" customHeight="1">
      <c r="B56" s="88" t="s">
        <v>86</v>
      </c>
      <c r="C56" s="88"/>
      <c r="D56" s="88"/>
      <c r="E56" s="38">
        <v>998.92</v>
      </c>
    </row>
    <row r="57" spans="2:5" s="37" customFormat="1" ht="14.25" customHeight="1">
      <c r="B57" s="88" t="s">
        <v>87</v>
      </c>
      <c r="C57" s="88"/>
      <c r="D57" s="88"/>
      <c r="E57" s="11">
        <f>'[1]2017 год'!$J$166</f>
        <v>1040.7219003228363</v>
      </c>
    </row>
    <row r="58" spans="2:6" s="37" customFormat="1" ht="15" customHeight="1">
      <c r="B58" s="88" t="s">
        <v>88</v>
      </c>
      <c r="C58" s="88"/>
      <c r="D58" s="88"/>
      <c r="E58" s="11">
        <f>'[1]2017 год'!$J$177</f>
        <v>1423.8940268246333</v>
      </c>
      <c r="F58" s="44"/>
    </row>
    <row r="59" spans="2:5" s="37" customFormat="1" ht="15" customHeight="1">
      <c r="B59" s="88"/>
      <c r="C59" s="88"/>
      <c r="D59" s="88"/>
      <c r="E59" s="11"/>
    </row>
    <row r="60" spans="2:6" s="37" customFormat="1" ht="15" customHeight="1">
      <c r="B60" s="88" t="s">
        <v>89</v>
      </c>
      <c r="C60" s="88"/>
      <c r="D60" s="88"/>
      <c r="E60" s="11">
        <f>'[1]2017 год'!$J$189</f>
        <v>7669.393914751781</v>
      </c>
      <c r="F60" s="44"/>
    </row>
    <row r="61" spans="2:5" s="37" customFormat="1" ht="15" customHeight="1">
      <c r="B61" s="88" t="s">
        <v>90</v>
      </c>
      <c r="C61" s="88"/>
      <c r="D61" s="88"/>
      <c r="E61" s="11">
        <f>'[1]2017 год'!$J$201</f>
        <v>11278.410667718827</v>
      </c>
    </row>
    <row r="62" spans="2:5" s="37" customFormat="1" ht="14.25" customHeight="1">
      <c r="B62" s="43"/>
      <c r="C62" s="43"/>
      <c r="D62" s="43"/>
      <c r="E62" s="38"/>
    </row>
    <row r="63" spans="2:5" s="37" customFormat="1" ht="12" customHeight="1">
      <c r="B63" s="88" t="s">
        <v>76</v>
      </c>
      <c r="C63" s="88"/>
      <c r="D63" s="88"/>
      <c r="E63" s="38">
        <v>68.68</v>
      </c>
    </row>
    <row r="64" spans="2:5" s="37" customFormat="1" ht="12" customHeight="1">
      <c r="B64" s="88"/>
      <c r="C64" s="88"/>
      <c r="D64" s="88"/>
      <c r="E64" s="38"/>
    </row>
    <row r="65" spans="2:5" s="37" customFormat="1" ht="22.5" customHeight="1">
      <c r="B65" s="88" t="s">
        <v>16</v>
      </c>
      <c r="C65" s="88"/>
      <c r="D65" s="88"/>
      <c r="E65" s="38">
        <v>565.23</v>
      </c>
    </row>
    <row r="66" spans="2:5" s="37" customFormat="1" ht="23.25" customHeight="1">
      <c r="B66" s="88" t="s">
        <v>15</v>
      </c>
      <c r="C66" s="88"/>
      <c r="D66" s="88"/>
      <c r="E66" s="38">
        <v>283.85</v>
      </c>
    </row>
    <row r="67" spans="2:5" s="37" customFormat="1" ht="40.5" customHeight="1">
      <c r="B67" s="88" t="s">
        <v>77</v>
      </c>
      <c r="C67" s="88"/>
      <c r="D67" s="88"/>
      <c r="E67" s="38">
        <v>1396.29</v>
      </c>
    </row>
    <row r="68" spans="2:5" s="37" customFormat="1" ht="27" customHeight="1">
      <c r="B68" s="88" t="s">
        <v>78</v>
      </c>
      <c r="C68" s="88"/>
      <c r="D68" s="88"/>
      <c r="E68" s="38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2019-10-29T07:07:18Z</dcterms:modified>
  <cp:category/>
  <cp:version/>
  <cp:contentType/>
  <cp:contentStatus/>
</cp:coreProperties>
</file>