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85" tabRatio="901" firstSheet="1" activeTab="1"/>
  </bookViews>
  <sheets>
    <sheet name="Ленина Ира" sheetId="1" r:id="rId1"/>
    <sheet name="Лист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1">'Лист'!#REF!</definedName>
  </definedNames>
  <calcPr calcMode="autoNoTable" fullCalcOnLoad="1"/>
</workbook>
</file>

<file path=xl/sharedStrings.xml><?xml version="1.0" encoding="utf-8"?>
<sst xmlns="http://schemas.openxmlformats.org/spreadsheetml/2006/main" count="792" uniqueCount="180">
  <si>
    <t>Сгруппированный по операциям</t>
  </si>
  <si>
    <t>Список операций</t>
  </si>
  <si>
    <t>Временная заделка свищей и трещин на внутренних трубопроводах и стояках</t>
  </si>
  <si>
    <t>Осмотр внутриквартийных устройств центрального отопления</t>
  </si>
  <si>
    <t>Осмотр водопровода, канализации и горячего водоснабжения в квартирах</t>
  </si>
  <si>
    <t>Осмотр линий электрических сетей, арматуры и электрооборудования</t>
  </si>
  <si>
    <t>Смена внутренних трубопроводов из стальных труб диаметром: до 25 мм</t>
  </si>
  <si>
    <t>Смена выключателей</t>
  </si>
  <si>
    <t>Смена ламп накаливания</t>
  </si>
  <si>
    <t>Оплачено по дому:</t>
  </si>
  <si>
    <t>Опиловка деревьев</t>
  </si>
  <si>
    <t>Очистка кровли от снега и скалывание сосулек</t>
  </si>
  <si>
    <t>Смена внутренних трубопроводов из стальных труб диаметром: до 20 мм</t>
  </si>
  <si>
    <t>Ремонт детской площадки</t>
  </si>
  <si>
    <t>Вывоз крупногабаритного мусора</t>
  </si>
  <si>
    <t>Затраты на аварийное обслуживание</t>
  </si>
  <si>
    <t>Затраты по управлению многоквартирным домом</t>
  </si>
  <si>
    <t>Ликвидация воздушных пробок в стояке</t>
  </si>
  <si>
    <t>Уборка лестничных клеток</t>
  </si>
  <si>
    <t>Уборка придомовой территории механизированным способом</t>
  </si>
  <si>
    <t>Смена внутренних трубопроводов из стальных труб диаметром: до 50 мм</t>
  </si>
  <si>
    <t>Ремонт лавочек</t>
  </si>
  <si>
    <t>Смена внутренних трубопроводов из стальных труб диаметром: до 15 мм</t>
  </si>
  <si>
    <t>Смена внутренних трубопроводов из стальных труб диаметром: до 80 мм</t>
  </si>
  <si>
    <t>Смена сборки диаметром 25 мм</t>
  </si>
  <si>
    <t>Осмотр инженерного оборудования в подвале</t>
  </si>
  <si>
    <t>квартир</t>
  </si>
  <si>
    <t>общ</t>
  </si>
  <si>
    <t xml:space="preserve">подвал </t>
  </si>
  <si>
    <t>черд</t>
  </si>
  <si>
    <t>стояков</t>
  </si>
  <si>
    <t>Проведение технических осмотров, проведение ППР и устранение незначительных неисправностей электротехнических устройств в домах с закрытой проводкой. Многоквартирные дома от 2-х до 5 этажей со сроком эксплуатации свыше 31 года</t>
  </si>
  <si>
    <t>Проверка наличия тяги в дымовентиляционных каналах</t>
  </si>
  <si>
    <t>Осмотр устройства системы центрального отопления в чердачных и подвальных помещениях</t>
  </si>
  <si>
    <t>Осмотр кровли, подъездных дверных и оконных проемов, внутренней и наружной штукатурки и облицовки стен</t>
  </si>
  <si>
    <t>Уборка придомовой территории</t>
  </si>
  <si>
    <t>Ремонт отмостки</t>
  </si>
  <si>
    <t>Уборка загрузочных клапанов; удаление отходов</t>
  </si>
  <si>
    <t>Страхование лифтового оборудования</t>
  </si>
  <si>
    <t>Адрес дома: МОСКОВСКИЙ ПР., 9</t>
  </si>
  <si>
    <t>Осмотр инженерного оборудования, отопления, водопровода, канализации и горячего водоснабжения в подвале</t>
  </si>
  <si>
    <t>Содержание общедомовых приборов учета ТУ</t>
  </si>
  <si>
    <t>Снятие показаний с прибора учета воды ИПУ</t>
  </si>
  <si>
    <t>Снятие показаний с прибора учета электроэнергии ИПУ</t>
  </si>
  <si>
    <t>Осмотр внутриквартийных устройств центрального отопления в квартирах</t>
  </si>
  <si>
    <t>Осмотр линий электрических сетей, арматуры и электрооборудования в квартирах</t>
  </si>
  <si>
    <t>Поверка общедомовых приборов учета (воды)</t>
  </si>
  <si>
    <t>подвал</t>
  </si>
  <si>
    <t>Осмотр внутриквартийных устройств центрального отопления в квартире</t>
  </si>
  <si>
    <t xml:space="preserve">Адрес дома: ЛЕНИНА ПР., 69 </t>
  </si>
  <si>
    <t xml:space="preserve">Адрес дома: ЛЕНИНА ПР., 69а </t>
  </si>
  <si>
    <t>Адрес дома: ЛЕНИНА ПР., 71</t>
  </si>
  <si>
    <t xml:space="preserve">Адрес дома: ЛЕНИНА ПР., 71а </t>
  </si>
  <si>
    <t xml:space="preserve">Адрес дома: ЛЕНИНА ПР., 73 </t>
  </si>
  <si>
    <t xml:space="preserve">Адрес дома: ЛЕНИНА ПР., 75 </t>
  </si>
  <si>
    <t xml:space="preserve">Адрес дома: ЛЕНИНА ПР., 75а </t>
  </si>
  <si>
    <t xml:space="preserve">Адрес дома: ЛЕНИНА ПР., 77а </t>
  </si>
  <si>
    <t>Адрес дома: ЛЕНИНА ПР., 77б</t>
  </si>
  <si>
    <t xml:space="preserve">Адрес дома: ЛЕНИНА ПР., 77г </t>
  </si>
  <si>
    <t>Адрес дома: ЛЕНИНА ПР., 81а</t>
  </si>
  <si>
    <t>Адрес дома: ЛЕНИНА ПР., 87</t>
  </si>
  <si>
    <t>Ремонт общедомовых приборов учета ТУ</t>
  </si>
  <si>
    <t>Смена патронов</t>
  </si>
  <si>
    <t>Смена внутренних трубопроводов из стальных труб диаметром: до 32 мм</t>
  </si>
  <si>
    <t>Смена внутренних трубопроводов из стальных труб диаметром: до 100 мм</t>
  </si>
  <si>
    <t>Смена сборки диаметром 15 мм</t>
  </si>
  <si>
    <t>Смена сборки диаметром 20 мм</t>
  </si>
  <si>
    <t>Осмотр линий электрических сетей, арматуры и электрооборудованияв квартирах</t>
  </si>
  <si>
    <t>Замена датчика движения</t>
  </si>
  <si>
    <t>Автомат одно-, двух-, трехполюсный, устанавливаемый на конструкции: на стене или колонне, на ток до 100 А</t>
  </si>
  <si>
    <t>Замена плавких вставок</t>
  </si>
  <si>
    <t>Начислено по дому</t>
  </si>
  <si>
    <t>Начислено по дому:</t>
  </si>
  <si>
    <t>Ремонт отдельных мест покрытия из асбоцементных листов: обыкновенного профиля</t>
  </si>
  <si>
    <t>Валка деревьев</t>
  </si>
  <si>
    <t>Ремонт детский площадок</t>
  </si>
  <si>
    <t>Ремонт подъездных козырьков</t>
  </si>
  <si>
    <t>Покраска цоколя</t>
  </si>
  <si>
    <t>Ремонт крылец</t>
  </si>
  <si>
    <t>Отчет о работах, выполненных за период с Января 2019 г. по Декабрь 2019 г.</t>
  </si>
  <si>
    <t>Установка аэраторов на крыше</t>
  </si>
  <si>
    <t>Разборка трубопроводов из чугунных канализационных труб диаметром: 110 мм</t>
  </si>
  <si>
    <t>Разборка трубопроводов из чугунных канализационных труб диаметром: 100 мм</t>
  </si>
  <si>
    <t>Прокладка внутренних трубопроводов канализации из полипропиленовых труб диаметром: 110 мм</t>
  </si>
  <si>
    <t>Временная заделка свищей и трещин на внутренних трубопроводах и стояках при диаметре трубопровода до 100 мм</t>
  </si>
  <si>
    <t>Смена вентилей и клапанов обратных муфтовых диаметром: 40 мм</t>
  </si>
  <si>
    <t>Смена вентилей и клапанов обратных муфтовых диаметром:  20 мм</t>
  </si>
  <si>
    <t>Замена светодиодных прожекторов</t>
  </si>
  <si>
    <t>Демонтаж кобры, установка светодиодного прожектора</t>
  </si>
  <si>
    <t>Прокладка кабеля АВВГ 2*2,5</t>
  </si>
  <si>
    <t>Смена ламп: люминесцентных</t>
  </si>
  <si>
    <t>Смена светодиодных ламп</t>
  </si>
  <si>
    <t>Замена распределительной коробки</t>
  </si>
  <si>
    <t>Ремонт слуховых окон</t>
  </si>
  <si>
    <t xml:space="preserve">Установка почтовых ящиков, без материалов </t>
  </si>
  <si>
    <t>Изготовление и установка лестницы в подвал</t>
  </si>
  <si>
    <t xml:space="preserve">Ремонт водосточных труб </t>
  </si>
  <si>
    <t>Установка урны</t>
  </si>
  <si>
    <t>Ремонт спортивной площадки</t>
  </si>
  <si>
    <t>Смена существующих рулонных кровель на покрытия из наплавляемых рулонных материалов: в один слой</t>
  </si>
  <si>
    <t>Ремонт м/п швов, кв.4</t>
  </si>
  <si>
    <t>Установка лавки</t>
  </si>
  <si>
    <t>Установка аншлагов и номеров</t>
  </si>
  <si>
    <t>Утепление м/п швов, кв.34,64,89,149,264</t>
  </si>
  <si>
    <t>7569, 49</t>
  </si>
  <si>
    <t>Опиловка деревеьев</t>
  </si>
  <si>
    <t>Итого затрачено по дому:</t>
  </si>
  <si>
    <t>Ремонт лавки</t>
  </si>
  <si>
    <t>Количество</t>
  </si>
  <si>
    <t xml:space="preserve">общая площадь </t>
  </si>
  <si>
    <t>чердак</t>
  </si>
  <si>
    <t>стояки</t>
  </si>
  <si>
    <t>Сумма</t>
  </si>
  <si>
    <t>Смена вентилей и клапанов обратных муфтовых диаметром:  32 мм</t>
  </si>
  <si>
    <t>Замена регистра</t>
  </si>
  <si>
    <t>Ремонт м/п швов</t>
  </si>
  <si>
    <t>Ремонт балконных козырьков, кв.36</t>
  </si>
  <si>
    <t>Установка отметов</t>
  </si>
  <si>
    <t>Установка скребков</t>
  </si>
  <si>
    <t>Установка перил</t>
  </si>
  <si>
    <t>Изготовление поручня, 2 подъезд</t>
  </si>
  <si>
    <t xml:space="preserve">Ремонт м/п швов, кв.68
</t>
  </si>
  <si>
    <t>Установка скребка, 5 подъезд</t>
  </si>
  <si>
    <t>Утепление системы отопления в подвале</t>
  </si>
  <si>
    <t>Установка информационных досок</t>
  </si>
  <si>
    <t>Смена ламп: светодиодных</t>
  </si>
  <si>
    <t>Ремонт м/п швов, кв.27,34</t>
  </si>
  <si>
    <t>Установка прутков на лестничный марш, 3 подъезд</t>
  </si>
  <si>
    <t>Замена фотореле</t>
  </si>
  <si>
    <t>Ремонт балконных плит кв. 88</t>
  </si>
  <si>
    <t>Ремонт скребков, 1 подъезд</t>
  </si>
  <si>
    <t xml:space="preserve">Смена ламп: светодиодных </t>
  </si>
  <si>
    <t>Ремонт балконных плит кв. 16,21,8,5,85</t>
  </si>
  <si>
    <t>Ремонт м/п швов, кв. 72,84</t>
  </si>
  <si>
    <t>Утепление м/п швов кв. 22</t>
  </si>
  <si>
    <t>Ремонт балконных плит кв. 34,38,39</t>
  </si>
  <si>
    <t>Смена фланцев</t>
  </si>
  <si>
    <t xml:space="preserve">Замена фотореле </t>
  </si>
  <si>
    <t>Предохранитель, устанавливаемый на изоляционном основании, на ток: до 100 А</t>
  </si>
  <si>
    <t>Замена датчиков движения</t>
  </si>
  <si>
    <t>Монтаж кирпичных перегородок в подвале, 1 подъезд</t>
  </si>
  <si>
    <t>Ремонт ограждения контейнерной площадки</t>
  </si>
  <si>
    <t>Ремонт стен после установки почтовых ящиков</t>
  </si>
  <si>
    <t xml:space="preserve">Замена датчиков движения </t>
  </si>
  <si>
    <t>Проверка работоспособности автоматической установки пожарной сигнализации, системы дымоудаления</t>
  </si>
  <si>
    <t>Установка светильников</t>
  </si>
  <si>
    <t>Ремонт балконных козырьков кв. 159,162,306</t>
  </si>
  <si>
    <t>Обрамление ступеней лестничного марша, 3 подъезд</t>
  </si>
  <si>
    <t>Установка тамбурной двери, 2 подъезд</t>
  </si>
  <si>
    <t>Ремонт подъездов</t>
  </si>
  <si>
    <t>Установка пружин на тамбурные двери</t>
  </si>
  <si>
    <t xml:space="preserve">Установка светильников
</t>
  </si>
  <si>
    <t>Промывка канализационных сетей</t>
  </si>
  <si>
    <r>
      <t>Присоединение к зажимам жил проводов или кабелей сечением: до 2,5 мм</t>
    </r>
    <r>
      <rPr>
        <vertAlign val="superscript"/>
        <sz val="9"/>
        <color indexed="8"/>
        <rFont val="Arial"/>
        <family val="2"/>
      </rPr>
      <t>2</t>
    </r>
  </si>
  <si>
    <r>
      <t>Провод по установленным стальным конструкциям и панелям, сечение: до 16 мм</t>
    </r>
    <r>
      <rPr>
        <vertAlign val="superscript"/>
        <sz val="9"/>
        <color indexed="8"/>
        <rFont val="Arial"/>
        <family val="2"/>
      </rPr>
      <t>2</t>
    </r>
  </si>
  <si>
    <t>Установка светодиодных светильников</t>
  </si>
  <si>
    <t>Ремонт перил, подъезд 8</t>
  </si>
  <si>
    <t>Замена перил, подъезды 4, 7</t>
  </si>
  <si>
    <r>
      <t>Присоединение к зажимам жил проводов или кабелей сечением: до 2,5 мм</t>
    </r>
    <r>
      <rPr>
        <vertAlign val="superscript"/>
        <sz val="9"/>
        <rFont val="Arial"/>
        <family val="2"/>
      </rPr>
      <t>2</t>
    </r>
  </si>
  <si>
    <r>
      <t>Провод по установленным стальным конструкциям и панелям, сечение: до 16 мм</t>
    </r>
    <r>
      <rPr>
        <vertAlign val="superscript"/>
        <sz val="9"/>
        <rFont val="Arial"/>
        <family val="2"/>
      </rPr>
      <t>2</t>
    </r>
  </si>
  <si>
    <t>Ремонт подъезда, подъезды 5,10 (лестничный марш)</t>
  </si>
  <si>
    <t>Ремонт стен  после замены почтовых ящиков</t>
  </si>
  <si>
    <t>Установка поручня, 5,7 подъезды</t>
  </si>
  <si>
    <t>Устранение засоров канализации</t>
  </si>
  <si>
    <t>Установка почтовых ящиков без материала</t>
  </si>
  <si>
    <t>Утепление м/п швов, кв.44</t>
  </si>
  <si>
    <t>Устранение засоров внутренних канализационных трубопроводов</t>
  </si>
  <si>
    <t>Утепление системы отопления на чердаке</t>
  </si>
  <si>
    <t xml:space="preserve">Утепление системы отопления </t>
  </si>
  <si>
    <t>Замена регистра 50 мм</t>
  </si>
  <si>
    <t>Монтаж прожекторов светодиодных</t>
  </si>
  <si>
    <t>Ремонт м/п швов кв.19,37,50,69,77,96,104,149,235,239,271,304,327,373,375</t>
  </si>
  <si>
    <t>Замена держателей для предохранителей</t>
  </si>
  <si>
    <t xml:space="preserve">Предохранитель, устанавливаемый на изоляционном основании, на ток: до 100 А </t>
  </si>
  <si>
    <t>Установка светодиодных прожекторов</t>
  </si>
  <si>
    <t>Замена держателей для предохранителя</t>
  </si>
  <si>
    <t>Ремонт забора</t>
  </si>
  <si>
    <t>Прокладка кабеля АВВГ 4*35</t>
  </si>
  <si>
    <t xml:space="preserve">Ремонт детской площадки </t>
  </si>
  <si>
    <r>
      <t>Присоединение к зажимам жил проводов или кабелей сечением: до 35 мм</t>
    </r>
    <r>
      <rPr>
        <vertAlign val="superscript"/>
        <sz val="9"/>
        <color indexed="8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</si>
</sst>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_р_."/>
    <numFmt numFmtId="174" formatCode="#\ ##0.00"/>
    <numFmt numFmtId="175" formatCode="0.00000"/>
    <numFmt numFmtId="176" formatCode="0.0000"/>
    <numFmt numFmtId="177" formatCode="0.000"/>
    <numFmt numFmtId="178" formatCode="#,##0.00\ &quot;₽&quot;"/>
    <numFmt numFmtId="179" formatCode="0.0000000"/>
    <numFmt numFmtId="180" formatCode="0.00000000"/>
    <numFmt numFmtId="181" formatCode="0.000000"/>
    <numFmt numFmtId="182" formatCode="[$-FC19]d\ mmmm\ yyyy\ &quot;г.&quot;"/>
    <numFmt numFmtId="183" formatCode="0.000000000"/>
    <numFmt numFmtId="184" formatCode="0.0000000000"/>
    <numFmt numFmtId="185" formatCode="0.00000000000"/>
    <numFmt numFmtId="186" formatCode="0.000000000000"/>
    <numFmt numFmtId="187" formatCode="0.0"/>
    <numFmt numFmtId="188" formatCode="_-* #,##0.0\ _₽_-;\-* #,##0.0\ _₽_-;_-* &quot;-&quot;??\ _₽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name val="Arial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 horizontal="center" vertical="center"/>
      <protection/>
    </xf>
    <xf numFmtId="0" fontId="32" fillId="0" borderId="0">
      <alignment horizontal="center" vertical="center"/>
      <protection/>
    </xf>
    <xf numFmtId="0" fontId="33" fillId="0" borderId="0">
      <alignment horizontal="right" vertical="top"/>
      <protection/>
    </xf>
    <xf numFmtId="0" fontId="34" fillId="0" borderId="0">
      <alignment horizontal="left" vertical="top"/>
      <protection/>
    </xf>
    <xf numFmtId="0" fontId="33" fillId="0" borderId="0">
      <alignment horizontal="left" vertical="top"/>
      <protection/>
    </xf>
    <xf numFmtId="0" fontId="33" fillId="0" borderId="0">
      <alignment horizontal="left" vertical="top"/>
      <protection/>
    </xf>
    <xf numFmtId="0" fontId="32" fillId="0" borderId="0">
      <alignment horizontal="right" vertical="top"/>
      <protection/>
    </xf>
    <xf numFmtId="0" fontId="33" fillId="20" borderId="0">
      <alignment horizontal="left" vertical="center"/>
      <protection/>
    </xf>
    <xf numFmtId="0" fontId="32" fillId="21" borderId="0">
      <alignment horizontal="center" vertical="center"/>
      <protection/>
    </xf>
    <xf numFmtId="0" fontId="33" fillId="0" borderId="0">
      <alignment horizontal="right" vertical="center"/>
      <protection/>
    </xf>
    <xf numFmtId="0" fontId="33" fillId="0" borderId="0">
      <alignment horizontal="left" vertical="top"/>
      <protection/>
    </xf>
    <xf numFmtId="0" fontId="33" fillId="0" borderId="0">
      <alignment horizontal="left" vertical="top"/>
      <protection/>
    </xf>
    <xf numFmtId="0" fontId="32" fillId="0" borderId="0">
      <alignment horizontal="right" vertical="top"/>
      <protection/>
    </xf>
    <xf numFmtId="0" fontId="32" fillId="0" borderId="0">
      <alignment horizontal="right" vertical="top"/>
      <protection/>
    </xf>
    <xf numFmtId="0" fontId="32" fillId="0" borderId="0">
      <alignment horizontal="right" vertical="top"/>
      <protection/>
    </xf>
    <xf numFmtId="0" fontId="33" fillId="0" borderId="0">
      <alignment horizontal="left" vertical="top"/>
      <protection/>
    </xf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30" borderId="7" applyNumberFormat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4" borderId="0" applyNumberFormat="0" applyBorder="0" applyAlignment="0" applyProtection="0"/>
  </cellStyleXfs>
  <cellXfs count="156">
    <xf numFmtId="0" fontId="0" fillId="0" borderId="0" xfId="0" applyFont="1" applyAlignment="1">
      <alignment/>
    </xf>
    <xf numFmtId="0" fontId="52" fillId="0" borderId="10" xfId="0" applyFont="1" applyFill="1" applyBorder="1" applyAlignment="1">
      <alignment wrapText="1"/>
    </xf>
    <xf numFmtId="0" fontId="52" fillId="0" borderId="10" xfId="0" applyFont="1" applyFill="1" applyBorder="1" applyAlignment="1">
      <alignment horizontal="center" wrapText="1"/>
    </xf>
    <xf numFmtId="0" fontId="42" fillId="0" borderId="0" xfId="0" applyFont="1" applyFill="1" applyAlignment="1">
      <alignment wrapText="1"/>
    </xf>
    <xf numFmtId="4" fontId="33" fillId="0" borderId="11" xfId="42" applyNumberFormat="1" applyFill="1" applyBorder="1" applyAlignment="1" quotePrefix="1">
      <alignment horizontal="right" vertical="center" wrapText="1"/>
      <protection/>
    </xf>
    <xf numFmtId="4" fontId="33" fillId="0" borderId="12" xfId="42" applyNumberFormat="1" applyFill="1" applyBorder="1" applyAlignment="1" quotePrefix="1">
      <alignment horizontal="right" vertical="center" wrapText="1"/>
      <protection/>
    </xf>
    <xf numFmtId="0" fontId="33" fillId="0" borderId="13" xfId="42" applyNumberFormat="1" applyFill="1" applyBorder="1" applyAlignment="1" quotePrefix="1">
      <alignment horizontal="right" vertical="center" wrapText="1"/>
      <protection/>
    </xf>
    <xf numFmtId="2" fontId="0" fillId="0" borderId="0" xfId="0" applyNumberFormat="1" applyFill="1" applyAlignment="1">
      <alignment wrapText="1"/>
    </xf>
    <xf numFmtId="0" fontId="0" fillId="0" borderId="13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27" fillId="0" borderId="0" xfId="0" applyFont="1" applyFill="1" applyAlignment="1">
      <alignment wrapText="1"/>
    </xf>
    <xf numFmtId="0" fontId="33" fillId="0" borderId="13" xfId="42" applyNumberFormat="1" applyFont="1" applyFill="1" applyBorder="1" applyAlignment="1" quotePrefix="1">
      <alignment horizontal="right" vertical="center" wrapText="1"/>
      <protection/>
    </xf>
    <xf numFmtId="2" fontId="33" fillId="0" borderId="13" xfId="42" applyNumberFormat="1" applyFont="1" applyFill="1" applyBorder="1" applyAlignment="1" quotePrefix="1">
      <alignment horizontal="right" vertical="center" wrapText="1"/>
      <protection/>
    </xf>
    <xf numFmtId="2" fontId="53" fillId="0" borderId="13" xfId="0" applyNumberFormat="1" applyFont="1" applyFill="1" applyBorder="1" applyAlignment="1">
      <alignment horizontal="right"/>
    </xf>
    <xf numFmtId="43" fontId="33" fillId="0" borderId="13" xfId="42" applyNumberFormat="1" applyFont="1" applyFill="1" applyBorder="1" applyAlignment="1" quotePrefix="1">
      <alignment horizontal="right" vertical="center" wrapText="1"/>
      <protection/>
    </xf>
    <xf numFmtId="43" fontId="33" fillId="0" borderId="14" xfId="42" applyNumberFormat="1" applyFont="1" applyFill="1" applyBorder="1" applyAlignment="1" quotePrefix="1">
      <alignment horizontal="right" vertical="center" wrapText="1"/>
      <protection/>
    </xf>
    <xf numFmtId="2" fontId="2" fillId="0" borderId="13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4" fontId="33" fillId="0" borderId="13" xfId="42" applyNumberFormat="1" applyFill="1" applyBorder="1" applyAlignment="1" quotePrefix="1">
      <alignment horizontal="right" vertical="center" wrapText="1"/>
      <protection/>
    </xf>
    <xf numFmtId="0" fontId="0" fillId="35" borderId="0" xfId="0" applyFill="1" applyAlignment="1">
      <alignment wrapText="1"/>
    </xf>
    <xf numFmtId="2" fontId="33" fillId="0" borderId="13" xfId="42" applyNumberFormat="1" applyBorder="1" applyAlignment="1" quotePrefix="1">
      <alignment horizontal="right" vertical="center" wrapText="1"/>
      <protection/>
    </xf>
    <xf numFmtId="0" fontId="0" fillId="0" borderId="0" xfId="0" applyFill="1" applyAlignment="1">
      <alignment wrapText="1"/>
    </xf>
    <xf numFmtId="2" fontId="33" fillId="0" borderId="13" xfId="42" applyNumberFormat="1" applyFill="1" applyBorder="1" applyAlignment="1" quotePrefix="1">
      <alignment horizontal="right" vertical="center" wrapText="1"/>
      <protection/>
    </xf>
    <xf numFmtId="4" fontId="53" fillId="0" borderId="13" xfId="0" applyNumberFormat="1" applyFont="1" applyFill="1" applyBorder="1" applyAlignment="1">
      <alignment horizontal="right"/>
    </xf>
    <xf numFmtId="0" fontId="0" fillId="0" borderId="0" xfId="0" applyFill="1" applyAlignment="1">
      <alignment wrapText="1"/>
    </xf>
    <xf numFmtId="0" fontId="33" fillId="0" borderId="11" xfId="42" applyNumberFormat="1" applyFont="1" applyFill="1" applyBorder="1" applyAlignment="1" quotePrefix="1">
      <alignment horizontal="right" vertical="center" wrapText="1"/>
      <protection/>
    </xf>
    <xf numFmtId="0" fontId="32" fillId="0" borderId="15" xfId="34" applyFill="1" applyBorder="1" applyAlignment="1" quotePrefix="1">
      <alignment horizontal="center" vertical="center" wrapText="1"/>
      <protection/>
    </xf>
    <xf numFmtId="0" fontId="32" fillId="0" borderId="13" xfId="41" applyFill="1" applyBorder="1" applyAlignment="1" quotePrefix="1">
      <alignment horizontal="center" vertical="center" wrapText="1"/>
      <protection/>
    </xf>
    <xf numFmtId="0" fontId="54" fillId="0" borderId="10" xfId="0" applyFont="1" applyFill="1" applyBorder="1" applyAlignment="1">
      <alignment wrapText="1"/>
    </xf>
    <xf numFmtId="0" fontId="54" fillId="0" borderId="10" xfId="0" applyFont="1" applyFill="1" applyBorder="1" applyAlignment="1">
      <alignment horizontal="center" wrapText="1"/>
    </xf>
    <xf numFmtId="2" fontId="33" fillId="0" borderId="12" xfId="42" applyNumberFormat="1" applyFill="1" applyBorder="1" applyAlignment="1" quotePrefix="1">
      <alignment horizontal="right" vertical="center" wrapText="1"/>
      <protection/>
    </xf>
    <xf numFmtId="0" fontId="33" fillId="0" borderId="0" xfId="43" applyFill="1" applyBorder="1" applyAlignment="1" quotePrefix="1">
      <alignment horizontal="left" vertical="top" wrapText="1"/>
      <protection/>
    </xf>
    <xf numFmtId="2" fontId="55" fillId="0" borderId="0" xfId="42" applyNumberFormat="1" applyFont="1" applyFill="1" applyBorder="1" applyAlignment="1" quotePrefix="1">
      <alignment horizontal="right" vertical="center" wrapText="1"/>
      <protection/>
    </xf>
    <xf numFmtId="0" fontId="32" fillId="0" borderId="0" xfId="46" applyFill="1" applyAlignment="1" quotePrefix="1">
      <alignment horizontal="right" vertical="top" wrapText="1"/>
      <protection/>
    </xf>
    <xf numFmtId="2" fontId="32" fillId="0" borderId="16" xfId="39" applyNumberFormat="1" applyFill="1" applyBorder="1" applyAlignment="1" quotePrefix="1">
      <alignment vertical="top" wrapText="1"/>
      <protection/>
    </xf>
    <xf numFmtId="2" fontId="52" fillId="0" borderId="16" xfId="0" applyNumberFormat="1" applyFont="1" applyFill="1" applyBorder="1" applyAlignment="1">
      <alignment vertical="center" wrapText="1"/>
    </xf>
    <xf numFmtId="4" fontId="0" fillId="0" borderId="0" xfId="0" applyNumberFormat="1" applyFill="1" applyAlignment="1">
      <alignment wrapText="1"/>
    </xf>
    <xf numFmtId="2" fontId="32" fillId="0" borderId="0" xfId="39" applyNumberFormat="1" applyFill="1" applyBorder="1" applyAlignment="1" quotePrefix="1">
      <alignment vertical="top" wrapText="1"/>
      <protection/>
    </xf>
    <xf numFmtId="0" fontId="52" fillId="0" borderId="17" xfId="0" applyFont="1" applyFill="1" applyBorder="1" applyAlignment="1">
      <alignment horizontal="center" wrapText="1"/>
    </xf>
    <xf numFmtId="4" fontId="30" fillId="0" borderId="0" xfId="0" applyNumberFormat="1" applyFont="1" applyFill="1" applyAlignment="1">
      <alignment wrapText="1"/>
    </xf>
    <xf numFmtId="0" fontId="32" fillId="0" borderId="0" xfId="45" applyFill="1" applyAlignment="1" quotePrefix="1">
      <alignment horizontal="right" vertical="top" wrapText="1"/>
      <protection/>
    </xf>
    <xf numFmtId="4" fontId="32" fillId="0" borderId="0" xfId="39" applyNumberFormat="1" applyFill="1" applyAlignment="1" quotePrefix="1">
      <alignment vertical="top" wrapText="1"/>
      <protection/>
    </xf>
    <xf numFmtId="4" fontId="52" fillId="0" borderId="0" xfId="0" applyNumberFormat="1" applyFont="1" applyFill="1" applyAlignment="1">
      <alignment vertical="center" wrapText="1"/>
    </xf>
    <xf numFmtId="0" fontId="52" fillId="0" borderId="13" xfId="0" applyFont="1" applyFill="1" applyBorder="1" applyAlignment="1">
      <alignment horizontal="center" vertical="center" wrapText="1"/>
    </xf>
    <xf numFmtId="4" fontId="32" fillId="0" borderId="15" xfId="39" applyNumberFormat="1" applyFill="1" applyBorder="1" applyAlignment="1" quotePrefix="1">
      <alignment vertical="top" wrapText="1"/>
      <protection/>
    </xf>
    <xf numFmtId="4" fontId="32" fillId="0" borderId="0" xfId="39" applyNumberFormat="1" applyFill="1" applyBorder="1" applyAlignment="1" quotePrefix="1">
      <alignment vertical="top" wrapText="1"/>
      <protection/>
    </xf>
    <xf numFmtId="43" fontId="0" fillId="0" borderId="0" xfId="0" applyNumberFormat="1" applyFill="1" applyAlignment="1">
      <alignment wrapText="1"/>
    </xf>
    <xf numFmtId="4" fontId="30" fillId="0" borderId="13" xfId="0" applyNumberFormat="1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4" fontId="32" fillId="0" borderId="16" xfId="39" applyNumberFormat="1" applyFill="1" applyBorder="1" applyAlignment="1" quotePrefix="1">
      <alignment vertical="top" wrapText="1"/>
      <protection/>
    </xf>
    <xf numFmtId="4" fontId="52" fillId="0" borderId="16" xfId="0" applyNumberFormat="1" applyFont="1" applyFill="1" applyBorder="1" applyAlignment="1">
      <alignment vertical="center" wrapText="1"/>
    </xf>
    <xf numFmtId="0" fontId="33" fillId="0" borderId="18" xfId="42" applyNumberFormat="1" applyFill="1" applyBorder="1" applyAlignment="1" quotePrefix="1">
      <alignment horizontal="right" vertical="center" wrapText="1"/>
      <protection/>
    </xf>
    <xf numFmtId="4" fontId="52" fillId="0" borderId="16" xfId="0" applyNumberFormat="1" applyFont="1" applyFill="1" applyBorder="1" applyAlignment="1">
      <alignment wrapText="1"/>
    </xf>
    <xf numFmtId="2" fontId="0" fillId="0" borderId="0" xfId="0" applyNumberFormat="1" applyFill="1" applyBorder="1" applyAlignment="1">
      <alignment wrapText="1"/>
    </xf>
    <xf numFmtId="2" fontId="33" fillId="0" borderId="11" xfId="42" applyNumberFormat="1" applyFont="1" applyFill="1" applyBorder="1" applyAlignment="1" quotePrefix="1">
      <alignment horizontal="right" vertical="center" wrapText="1"/>
      <protection/>
    </xf>
    <xf numFmtId="43" fontId="2" fillId="0" borderId="13" xfId="42" applyNumberFormat="1" applyFont="1" applyFill="1" applyBorder="1" applyAlignment="1" quotePrefix="1">
      <alignment horizontal="right" vertical="center" wrapText="1"/>
      <protection/>
    </xf>
    <xf numFmtId="2" fontId="2" fillId="0" borderId="13" xfId="42" applyNumberFormat="1" applyFont="1" applyFill="1" applyBorder="1" applyAlignment="1" quotePrefix="1">
      <alignment horizontal="right" vertical="center" wrapText="1"/>
      <protection/>
    </xf>
    <xf numFmtId="0" fontId="0" fillId="0" borderId="0" xfId="0" applyFill="1" applyAlignment="1">
      <alignment wrapText="1"/>
    </xf>
    <xf numFmtId="0" fontId="0" fillId="35" borderId="0" xfId="0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wrapText="1"/>
    </xf>
    <xf numFmtId="171" fontId="52" fillId="0" borderId="16" xfId="76" applyFont="1" applyFill="1" applyBorder="1" applyAlignment="1">
      <alignment horizontal="right" vertical="center" wrapText="1"/>
    </xf>
    <xf numFmtId="0" fontId="2" fillId="0" borderId="13" xfId="42" applyNumberFormat="1" applyFont="1" applyFill="1" applyBorder="1" applyAlignment="1" quotePrefix="1">
      <alignment horizontal="right" vertical="center" wrapText="1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171" fontId="52" fillId="0" borderId="15" xfId="76" applyFont="1" applyFill="1" applyBorder="1" applyAlignment="1">
      <alignment horizontal="right" vertical="center" wrapText="1"/>
    </xf>
    <xf numFmtId="0" fontId="33" fillId="0" borderId="13" xfId="43" applyFont="1" applyFill="1" applyBorder="1" applyAlignment="1" quotePrefix="1">
      <alignment horizontal="left" vertical="top" wrapText="1"/>
      <protection/>
    </xf>
    <xf numFmtId="0" fontId="33" fillId="0" borderId="19" xfId="43" applyFont="1" applyFill="1" applyBorder="1" applyAlignment="1" quotePrefix="1">
      <alignment horizontal="left" vertical="top" wrapText="1"/>
      <protection/>
    </xf>
    <xf numFmtId="0" fontId="33" fillId="0" borderId="16" xfId="43" applyFont="1" applyFill="1" applyBorder="1" applyAlignment="1" quotePrefix="1">
      <alignment horizontal="left" vertical="top" wrapText="1"/>
      <protection/>
    </xf>
    <xf numFmtId="0" fontId="33" fillId="0" borderId="20" xfId="43" applyFont="1" applyFill="1" applyBorder="1" applyAlignment="1" quotePrefix="1">
      <alignment horizontal="left" vertical="top" wrapText="1"/>
      <protection/>
    </xf>
    <xf numFmtId="0" fontId="0" fillId="0" borderId="21" xfId="0" applyFont="1" applyFill="1" applyBorder="1" applyAlignment="1">
      <alignment wrapText="1"/>
    </xf>
    <xf numFmtId="0" fontId="33" fillId="0" borderId="22" xfId="43" applyFont="1" applyFill="1" applyBorder="1" applyAlignment="1" quotePrefix="1">
      <alignment horizontal="left" vertical="top" wrapText="1"/>
      <protection/>
    </xf>
    <xf numFmtId="0" fontId="33" fillId="0" borderId="23" xfId="43" applyFont="1" applyFill="1" applyBorder="1" applyAlignment="1" quotePrefix="1">
      <alignment horizontal="left" vertical="top" wrapText="1"/>
      <protection/>
    </xf>
    <xf numFmtId="0" fontId="33" fillId="0" borderId="13" xfId="43" applyFill="1" applyBorder="1" applyAlignment="1" quotePrefix="1">
      <alignment horizontal="left" vertical="top" wrapText="1"/>
      <protection/>
    </xf>
    <xf numFmtId="0" fontId="0" fillId="0" borderId="13" xfId="0" applyFill="1" applyBorder="1" applyAlignment="1">
      <alignment wrapText="1"/>
    </xf>
    <xf numFmtId="0" fontId="33" fillId="0" borderId="24" xfId="43" applyFill="1" applyBorder="1" applyAlignment="1" quotePrefix="1">
      <alignment horizontal="left" vertical="top" wrapText="1"/>
      <protection/>
    </xf>
    <xf numFmtId="0" fontId="33" fillId="0" borderId="25" xfId="43" applyFill="1" applyBorder="1" applyAlignment="1" quotePrefix="1">
      <alignment horizontal="left" vertical="top" wrapText="1"/>
      <protection/>
    </xf>
    <xf numFmtId="0" fontId="0" fillId="0" borderId="13" xfId="0" applyFont="1" applyFill="1" applyBorder="1" applyAlignment="1">
      <alignment wrapText="1"/>
    </xf>
    <xf numFmtId="0" fontId="33" fillId="0" borderId="13" xfId="37" applyFill="1" applyBorder="1" applyAlignment="1" quotePrefix="1">
      <alignment horizontal="left" vertical="top" wrapText="1"/>
      <protection/>
    </xf>
    <xf numFmtId="0" fontId="33" fillId="0" borderId="14" xfId="43" applyFill="1" applyBorder="1" applyAlignment="1" quotePrefix="1">
      <alignment horizontal="left" vertical="top" wrapText="1"/>
      <protection/>
    </xf>
    <xf numFmtId="0" fontId="33" fillId="0" borderId="23" xfId="43" applyFill="1" applyBorder="1" applyAlignment="1" quotePrefix="1">
      <alignment horizontal="left" vertical="top" wrapText="1"/>
      <protection/>
    </xf>
    <xf numFmtId="0" fontId="33" fillId="0" borderId="26" xfId="43" applyFill="1" applyBorder="1" applyAlignment="1" quotePrefix="1">
      <alignment horizontal="left" vertical="top" wrapText="1"/>
      <protection/>
    </xf>
    <xf numFmtId="0" fontId="32" fillId="0" borderId="22" xfId="41" applyFill="1" applyBorder="1" applyAlignment="1" quotePrefix="1">
      <alignment horizontal="center" vertical="center" wrapText="1"/>
      <protection/>
    </xf>
    <xf numFmtId="0" fontId="32" fillId="0" borderId="23" xfId="41" applyFill="1" applyBorder="1" applyAlignment="1" quotePrefix="1">
      <alignment horizontal="center" vertical="center" wrapText="1"/>
      <protection/>
    </xf>
    <xf numFmtId="0" fontId="33" fillId="0" borderId="27" xfId="40" applyFill="1" applyBorder="1" applyAlignment="1" quotePrefix="1">
      <alignment horizontal="left" vertical="center" wrapText="1"/>
      <protection/>
    </xf>
    <xf numFmtId="0" fontId="33" fillId="0" borderId="25" xfId="40" applyFill="1" applyBorder="1" applyAlignment="1" quotePrefix="1">
      <alignment horizontal="left" vertical="center" wrapText="1"/>
      <protection/>
    </xf>
    <xf numFmtId="0" fontId="2" fillId="0" borderId="13" xfId="43" applyFont="1" applyFill="1" applyBorder="1" applyAlignment="1" quotePrefix="1">
      <alignment horizontal="left" vertical="top" wrapText="1"/>
      <protection/>
    </xf>
    <xf numFmtId="0" fontId="32" fillId="0" borderId="16" xfId="34" applyFill="1" applyBorder="1" applyAlignment="1" quotePrefix="1">
      <alignment horizontal="left" vertical="center" wrapText="1"/>
      <protection/>
    </xf>
    <xf numFmtId="0" fontId="33" fillId="0" borderId="20" xfId="43" applyFill="1" applyBorder="1" applyAlignment="1" quotePrefix="1">
      <alignment horizontal="left" vertical="top" wrapText="1"/>
      <protection/>
    </xf>
    <xf numFmtId="0" fontId="33" fillId="0" borderId="21" xfId="43" applyFill="1" applyBorder="1" applyAlignment="1" quotePrefix="1">
      <alignment horizontal="left" vertical="top" wrapText="1"/>
      <protection/>
    </xf>
    <xf numFmtId="0" fontId="33" fillId="0" borderId="28" xfId="43" applyFill="1" applyBorder="1" applyAlignment="1" quotePrefix="1">
      <alignment horizontal="left" vertical="top" wrapText="1"/>
      <protection/>
    </xf>
    <xf numFmtId="0" fontId="33" fillId="0" borderId="27" xfId="43" applyFont="1" applyFill="1" applyBorder="1" applyAlignment="1" quotePrefix="1">
      <alignment horizontal="left" vertical="top" wrapText="1"/>
      <protection/>
    </xf>
    <xf numFmtId="0" fontId="33" fillId="0" borderId="25" xfId="43" applyFont="1" applyFill="1" applyBorder="1" applyAlignment="1" quotePrefix="1">
      <alignment horizontal="left" vertical="top" wrapText="1"/>
      <protection/>
    </xf>
    <xf numFmtId="0" fontId="33" fillId="0" borderId="29" xfId="43" applyFill="1" applyBorder="1" applyAlignment="1" quotePrefix="1">
      <alignment horizontal="left" vertical="top" wrapText="1"/>
      <protection/>
    </xf>
    <xf numFmtId="0" fontId="33" fillId="0" borderId="30" xfId="43" applyFill="1" applyBorder="1" applyAlignment="1" quotePrefix="1">
      <alignment horizontal="left" vertical="top" wrapText="1"/>
      <protection/>
    </xf>
    <xf numFmtId="0" fontId="33" fillId="0" borderId="31" xfId="43" applyFill="1" applyBorder="1" applyAlignment="1" quotePrefix="1">
      <alignment horizontal="left" vertical="top" wrapText="1"/>
      <protection/>
    </xf>
    <xf numFmtId="0" fontId="33" fillId="0" borderId="32" xfId="43" applyFill="1" applyBorder="1" applyAlignment="1" quotePrefix="1">
      <alignment horizontal="left" vertical="top" wrapText="1"/>
      <protection/>
    </xf>
    <xf numFmtId="0" fontId="33" fillId="0" borderId="15" xfId="43" applyFill="1" applyBorder="1" applyAlignment="1" quotePrefix="1">
      <alignment horizontal="left" vertical="top" wrapText="1"/>
      <protection/>
    </xf>
    <xf numFmtId="0" fontId="33" fillId="0" borderId="33" xfId="43" applyFill="1" applyBorder="1" applyAlignment="1" quotePrefix="1">
      <alignment horizontal="left" vertical="top" wrapText="1"/>
      <protection/>
    </xf>
    <xf numFmtId="0" fontId="33" fillId="0" borderId="14" xfId="43" applyFont="1" applyFill="1" applyBorder="1" applyAlignment="1" quotePrefix="1">
      <alignment horizontal="left" vertical="top" wrapText="1"/>
      <protection/>
    </xf>
    <xf numFmtId="0" fontId="33" fillId="0" borderId="34" xfId="43" applyFont="1" applyFill="1" applyBorder="1" applyAlignment="1" quotePrefix="1">
      <alignment horizontal="left" vertical="top" wrapText="1"/>
      <protection/>
    </xf>
    <xf numFmtId="4" fontId="32" fillId="0" borderId="0" xfId="39" applyNumberFormat="1" applyFill="1" applyAlignment="1" quotePrefix="1">
      <alignment horizontal="right" vertical="top" wrapText="1"/>
      <protection/>
    </xf>
    <xf numFmtId="0" fontId="0" fillId="0" borderId="0" xfId="0" applyFill="1" applyAlignment="1">
      <alignment wrapText="1"/>
    </xf>
    <xf numFmtId="0" fontId="33" fillId="0" borderId="35" xfId="37" applyFill="1" applyBorder="1" applyAlignment="1" quotePrefix="1">
      <alignment horizontal="left" vertical="top" wrapText="1"/>
      <protection/>
    </xf>
    <xf numFmtId="0" fontId="33" fillId="0" borderId="36" xfId="37" applyFill="1" applyBorder="1" applyAlignment="1" quotePrefix="1">
      <alignment horizontal="left" vertical="top" wrapText="1"/>
      <protection/>
    </xf>
    <xf numFmtId="0" fontId="33" fillId="0" borderId="37" xfId="37" applyFill="1" applyBorder="1" applyAlignment="1" quotePrefix="1">
      <alignment horizontal="left" vertical="top" wrapText="1"/>
      <protection/>
    </xf>
    <xf numFmtId="4" fontId="33" fillId="0" borderId="12" xfId="42" applyNumberFormat="1" applyFill="1" applyBorder="1" applyAlignment="1" quotePrefix="1">
      <alignment horizontal="right" vertical="center" wrapText="1"/>
      <protection/>
    </xf>
    <xf numFmtId="4" fontId="33" fillId="0" borderId="11" xfId="42" applyNumberFormat="1" applyFill="1" applyBorder="1" applyAlignment="1" quotePrefix="1">
      <alignment horizontal="right" vertical="center" wrapText="1"/>
      <protection/>
    </xf>
    <xf numFmtId="0" fontId="31" fillId="0" borderId="0" xfId="33" applyFill="1" applyAlignment="1" quotePrefix="1">
      <alignment horizontal="left" vertical="center" wrapText="1"/>
      <protection/>
    </xf>
    <xf numFmtId="0" fontId="0" fillId="0" borderId="0" xfId="0" applyFill="1" applyAlignment="1">
      <alignment horizontal="left" wrapText="1"/>
    </xf>
    <xf numFmtId="4" fontId="33" fillId="0" borderId="13" xfId="42" applyNumberFormat="1" applyFill="1" applyBorder="1" applyAlignment="1" quotePrefix="1">
      <alignment horizontal="right" vertical="center" wrapText="1"/>
      <protection/>
    </xf>
    <xf numFmtId="4" fontId="32" fillId="0" borderId="25" xfId="46" applyNumberFormat="1" applyFill="1" applyBorder="1" applyAlignment="1" quotePrefix="1">
      <alignment horizontal="right" vertical="top" wrapText="1"/>
      <protection/>
    </xf>
    <xf numFmtId="0" fontId="33" fillId="0" borderId="13" xfId="37" applyFont="1" applyFill="1" applyBorder="1" applyAlignment="1" quotePrefix="1">
      <alignment horizontal="left" vertical="top" wrapText="1"/>
      <protection/>
    </xf>
    <xf numFmtId="0" fontId="32" fillId="0" borderId="14" xfId="41" applyFill="1" applyBorder="1" applyAlignment="1" quotePrefix="1">
      <alignment horizontal="center" vertical="center" wrapText="1"/>
      <protection/>
    </xf>
    <xf numFmtId="0" fontId="33" fillId="0" borderId="24" xfId="40" applyFill="1" applyBorder="1" applyAlignment="1" quotePrefix="1">
      <alignment horizontal="left" vertical="center" wrapText="1"/>
      <protection/>
    </xf>
    <xf numFmtId="0" fontId="33" fillId="0" borderId="38" xfId="37" applyFill="1" applyBorder="1" applyAlignment="1" quotePrefix="1">
      <alignment horizontal="left" vertical="top" wrapText="1"/>
      <protection/>
    </xf>
    <xf numFmtId="0" fontId="33" fillId="0" borderId="0" xfId="37" applyFill="1" applyBorder="1" applyAlignment="1" quotePrefix="1">
      <alignment horizontal="left" vertical="top" wrapText="1"/>
      <protection/>
    </xf>
    <xf numFmtId="0" fontId="33" fillId="0" borderId="39" xfId="37" applyFill="1" applyBorder="1" applyAlignment="1" quotePrefix="1">
      <alignment horizontal="left" vertical="top" wrapText="1"/>
      <protection/>
    </xf>
    <xf numFmtId="4" fontId="32" fillId="0" borderId="0" xfId="46" applyNumberFormat="1" applyFill="1" applyAlignment="1" quotePrefix="1">
      <alignment horizontal="right" vertical="top" wrapText="1"/>
      <protection/>
    </xf>
    <xf numFmtId="0" fontId="0" fillId="0" borderId="23" xfId="0" applyFill="1" applyBorder="1" applyAlignment="1">
      <alignment wrapText="1"/>
    </xf>
    <xf numFmtId="0" fontId="33" fillId="0" borderId="22" xfId="40" applyFill="1" applyBorder="1" applyAlignment="1" quotePrefix="1">
      <alignment horizontal="left" vertical="center" wrapText="1"/>
      <protection/>
    </xf>
    <xf numFmtId="0" fontId="0" fillId="0" borderId="25" xfId="0" applyFill="1" applyBorder="1" applyAlignment="1">
      <alignment wrapText="1"/>
    </xf>
    <xf numFmtId="2" fontId="33" fillId="0" borderId="13" xfId="42" applyNumberFormat="1" applyFill="1" applyBorder="1" applyAlignment="1" quotePrefix="1">
      <alignment horizontal="right" vertical="center" wrapText="1"/>
      <protection/>
    </xf>
    <xf numFmtId="0" fontId="27" fillId="0" borderId="13" xfId="0" applyFont="1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0" fillId="0" borderId="23" xfId="0" applyFont="1" applyFill="1" applyBorder="1" applyAlignment="1">
      <alignment wrapText="1"/>
    </xf>
    <xf numFmtId="0" fontId="32" fillId="0" borderId="24" xfId="41" applyFill="1" applyBorder="1" applyAlignment="1" quotePrefix="1">
      <alignment horizontal="center" vertical="center" wrapText="1"/>
      <protection/>
    </xf>
    <xf numFmtId="0" fontId="33" fillId="0" borderId="40" xfId="43" applyFill="1" applyBorder="1" applyAlignment="1" quotePrefix="1">
      <alignment horizontal="left" vertical="top" wrapText="1"/>
      <protection/>
    </xf>
    <xf numFmtId="0" fontId="33" fillId="0" borderId="16" xfId="43" applyFill="1" applyBorder="1" applyAlignment="1" quotePrefix="1">
      <alignment horizontal="left" vertical="top" wrapText="1"/>
      <protection/>
    </xf>
    <xf numFmtId="0" fontId="33" fillId="0" borderId="13" xfId="40" applyFill="1" applyBorder="1" applyAlignment="1" quotePrefix="1">
      <alignment horizontal="left" vertical="center" wrapText="1"/>
      <protection/>
    </xf>
    <xf numFmtId="0" fontId="0" fillId="0" borderId="0" xfId="0" applyFill="1" applyBorder="1" applyAlignment="1">
      <alignment wrapText="1"/>
    </xf>
    <xf numFmtId="0" fontId="33" fillId="0" borderId="38" xfId="40" applyFill="1" applyBorder="1" applyAlignment="1" quotePrefix="1">
      <alignment horizontal="left" vertical="center" wrapText="1"/>
      <protection/>
    </xf>
    <xf numFmtId="0" fontId="32" fillId="0" borderId="41" xfId="41" applyFill="1" applyBorder="1" applyAlignment="1" quotePrefix="1">
      <alignment horizontal="center" vertical="center" wrapText="1"/>
      <protection/>
    </xf>
    <xf numFmtId="0" fontId="0" fillId="0" borderId="42" xfId="0" applyFill="1" applyBorder="1" applyAlignment="1">
      <alignment wrapText="1"/>
    </xf>
    <xf numFmtId="0" fontId="33" fillId="0" borderId="14" xfId="40" applyFill="1" applyBorder="1" applyAlignment="1" quotePrefix="1">
      <alignment horizontal="left" vertical="center" wrapText="1"/>
      <protection/>
    </xf>
    <xf numFmtId="0" fontId="0" fillId="0" borderId="16" xfId="0" applyFill="1" applyBorder="1" applyAlignment="1">
      <alignment wrapText="1"/>
    </xf>
    <xf numFmtId="171" fontId="32" fillId="0" borderId="25" xfId="76" applyFont="1" applyFill="1" applyBorder="1" applyAlignment="1" quotePrefix="1">
      <alignment horizontal="right" vertical="top" wrapText="1"/>
    </xf>
    <xf numFmtId="171" fontId="0" fillId="0" borderId="25" xfId="76" applyFont="1" applyFill="1" applyBorder="1" applyAlignment="1">
      <alignment wrapText="1"/>
    </xf>
    <xf numFmtId="0" fontId="32" fillId="0" borderId="0" xfId="34" applyFill="1" applyBorder="1" applyAlignment="1" quotePrefix="1">
      <alignment horizontal="left" vertical="center" wrapText="1"/>
      <protection/>
    </xf>
    <xf numFmtId="0" fontId="32" fillId="0" borderId="13" xfId="41" applyFill="1" applyBorder="1" applyAlignment="1" quotePrefix="1">
      <alignment horizontal="center" vertical="center" wrapText="1"/>
      <protection/>
    </xf>
    <xf numFmtId="0" fontId="33" fillId="0" borderId="40" xfId="40" applyFill="1" applyBorder="1" applyAlignment="1" quotePrefix="1">
      <alignment horizontal="left" vertical="center" wrapText="1"/>
      <protection/>
    </xf>
    <xf numFmtId="0" fontId="32" fillId="0" borderId="25" xfId="46" applyFill="1" applyBorder="1" applyAlignment="1" quotePrefix="1">
      <alignment horizontal="right" vertical="top" wrapText="1"/>
      <protection/>
    </xf>
    <xf numFmtId="0" fontId="32" fillId="0" borderId="0" xfId="39" applyFill="1" applyAlignment="1" quotePrefix="1">
      <alignment horizontal="right" vertical="top" wrapText="1"/>
      <protection/>
    </xf>
    <xf numFmtId="0" fontId="33" fillId="0" borderId="21" xfId="43" applyFont="1" applyFill="1" applyBorder="1" applyAlignment="1" quotePrefix="1">
      <alignment horizontal="left" vertical="top" wrapText="1"/>
      <protection/>
    </xf>
    <xf numFmtId="0" fontId="33" fillId="0" borderId="28" xfId="43" applyFont="1" applyFill="1" applyBorder="1" applyAlignment="1" quotePrefix="1">
      <alignment horizontal="left" vertical="top" wrapText="1"/>
      <protection/>
    </xf>
    <xf numFmtId="0" fontId="32" fillId="0" borderId="20" xfId="41" applyFill="1" applyBorder="1" applyAlignment="1" quotePrefix="1">
      <alignment horizontal="center" vertical="center" wrapText="1"/>
      <protection/>
    </xf>
    <xf numFmtId="0" fontId="0" fillId="0" borderId="21" xfId="0" applyFill="1" applyBorder="1" applyAlignment="1">
      <alignment wrapText="1"/>
    </xf>
    <xf numFmtId="0" fontId="2" fillId="0" borderId="13" xfId="0" applyFont="1" applyFill="1" applyBorder="1" applyAlignment="1">
      <alignment horizontal="left" wrapText="1"/>
    </xf>
    <xf numFmtId="0" fontId="33" fillId="0" borderId="40" xfId="43" applyFont="1" applyFill="1" applyBorder="1" applyAlignment="1" quotePrefix="1">
      <alignment horizontal="left" vertical="top" wrapText="1"/>
      <protection/>
    </xf>
    <xf numFmtId="0" fontId="0" fillId="0" borderId="20" xfId="0" applyFont="1" applyFill="1" applyBorder="1" applyAlignment="1">
      <alignment wrapText="1"/>
    </xf>
    <xf numFmtId="0" fontId="33" fillId="0" borderId="20" xfId="43" applyBorder="1" applyAlignment="1" quotePrefix="1">
      <alignment horizontal="left" vertical="top" wrapText="1"/>
      <protection/>
    </xf>
    <xf numFmtId="0" fontId="33" fillId="0" borderId="21" xfId="43" applyBorder="1" applyAlignment="1" quotePrefix="1">
      <alignment horizontal="left" vertical="top" wrapText="1"/>
      <protection/>
    </xf>
    <xf numFmtId="4" fontId="32" fillId="0" borderId="25" xfId="47" applyNumberFormat="1" applyFill="1" applyBorder="1" applyAlignment="1" quotePrefix="1">
      <alignment horizontal="right" vertical="top" wrapText="1"/>
      <protection/>
    </xf>
    <xf numFmtId="0" fontId="31" fillId="0" borderId="0" xfId="33" applyFont="1" applyFill="1" applyAlignment="1" quotePrefix="1">
      <alignment horizontal="center" vertical="center" wrapText="1"/>
      <protection/>
    </xf>
    <xf numFmtId="0" fontId="32" fillId="0" borderId="22" xfId="40" applyFont="1" applyFill="1" applyBorder="1" applyAlignment="1" quotePrefix="1">
      <alignment horizontal="left" vertical="center" wrapText="1"/>
      <protection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2" xfId="39"/>
    <cellStyle name="S3" xfId="40"/>
    <cellStyle name="S4" xfId="41"/>
    <cellStyle name="S5" xfId="42"/>
    <cellStyle name="S6" xfId="43"/>
    <cellStyle name="S7" xfId="44"/>
    <cellStyle name="S7 2" xfId="45"/>
    <cellStyle name="S8" xfId="46"/>
    <cellStyle name="S9" xfId="47"/>
    <cellStyle name="S9 2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59;&#1089;&#1083;&#1091;&#1075;&#1080;%20&#1046;&#1050;&#1058;%20(&#1079;&#1072;&#1090;&#1088;&#1072;&#1090;&#1099;%20&#1087;&#1086;%20&#1076;&#1086;&#1084;&#1072;&#108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59;&#1089;&#1083;&#1091;&#1075;&#1080;%20&#1046;&#1050;&#1058;%20(&#1079;&#1072;&#1090;&#1088;&#1072;&#1090;&#1099;%20&#1087;&#1086;%20&#1076;&#1086;&#1084;&#1072;&#1084;)%20(version%201)%20(&#1042;&#1086;&#1089;&#1089;&#1090;&#1072;&#1085;&#1086;&#1074;&#1083;&#1077;&#1085;&#1085;&#1099;&#1081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72;&#1095;&#1080;&#1089;&#1083;&#1077;&#1085;&#1086;%20&#1087;&#1086;&#1083;&#1091;&#1095;&#1077;&#1085;&#1086;%202019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72;&#1095;&#1080;&#1089;&#1083;&#1077;&#1085;&#1086;%20&#1087;&#1086;&#1083;&#1091;&#1095;&#1077;&#1085;&#1086;%202019%20&#1048;&#1058;&#1054;&#1043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59;&#1089;&#1083;&#1091;&#1075;&#1080;%20&#1046;&#1050;&#1058;%20(&#1079;&#1072;&#1090;&#1088;&#1072;&#1090;&#1099;%20&#1087;&#1086;%20&#1076;&#1086;&#1084;&#1072;&#1084;)%20(version%201)%20(&#1042;&#1086;&#1089;&#1089;&#1090;&#1072;&#1085;&#1086;&#1074;&#1083;&#1077;&#1085;&#1085;&#1099;&#108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198">
          <cell r="J198">
            <v>164.5080442475163</v>
          </cell>
        </row>
        <row r="211">
          <cell r="J211">
            <v>57.61003152965285</v>
          </cell>
        </row>
        <row r="238">
          <cell r="J238">
            <v>5104.102046353025</v>
          </cell>
        </row>
        <row r="251">
          <cell r="J251">
            <v>5019.891178155766</v>
          </cell>
        </row>
        <row r="264">
          <cell r="J264">
            <v>70.89432176238583</v>
          </cell>
        </row>
        <row r="277">
          <cell r="J277">
            <v>835.5001207362125</v>
          </cell>
        </row>
        <row r="290">
          <cell r="J290">
            <v>609.0492647362124</v>
          </cell>
        </row>
        <row r="323">
          <cell r="J323">
            <v>99.97549482510472</v>
          </cell>
        </row>
        <row r="333">
          <cell r="J333">
            <v>955.6761932821831</v>
          </cell>
        </row>
        <row r="434">
          <cell r="J434">
            <v>612.3639222642756</v>
          </cell>
        </row>
        <row r="444">
          <cell r="J444">
            <v>684.615821482499</v>
          </cell>
        </row>
        <row r="454">
          <cell r="J454">
            <v>863.9268878891185</v>
          </cell>
        </row>
        <row r="464">
          <cell r="J464">
            <v>927.387895865775</v>
          </cell>
        </row>
        <row r="484">
          <cell r="J484">
            <v>1304.1603838424317</v>
          </cell>
        </row>
        <row r="504">
          <cell r="J504">
            <v>1764.1201997957446</v>
          </cell>
        </row>
        <row r="514">
          <cell r="J514">
            <v>2278.2758957955502</v>
          </cell>
        </row>
        <row r="535">
          <cell r="J535">
            <v>396.71950390079024</v>
          </cell>
        </row>
        <row r="565">
          <cell r="J565">
            <v>508.58501433463834</v>
          </cell>
        </row>
        <row r="677">
          <cell r="J677">
            <v>786.6130943054591</v>
          </cell>
        </row>
        <row r="688">
          <cell r="J688">
            <v>976.781174305459</v>
          </cell>
        </row>
        <row r="699">
          <cell r="J699">
            <v>1392.239787079781</v>
          </cell>
        </row>
        <row r="710">
          <cell r="J710">
            <v>3527.265147079781</v>
          </cell>
        </row>
        <row r="721">
          <cell r="J721">
            <v>4486.303059044766</v>
          </cell>
        </row>
        <row r="915">
          <cell r="J915">
            <v>467.02159089779934</v>
          </cell>
        </row>
        <row r="974">
          <cell r="J974">
            <v>672.1700975325577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224">
          <cell r="J224">
            <v>1551.2274377228807</v>
          </cell>
        </row>
        <row r="290">
          <cell r="J290">
            <v>609.0492647362124</v>
          </cell>
        </row>
        <row r="333">
          <cell r="J333">
            <v>955.6761932821831</v>
          </cell>
        </row>
        <row r="940">
          <cell r="J940">
            <v>546.9912167362124</v>
          </cell>
        </row>
        <row r="960">
          <cell r="J960">
            <v>1535.2004130751782</v>
          </cell>
        </row>
        <row r="974">
          <cell r="J974">
            <v>672.1700975325577</v>
          </cell>
        </row>
        <row r="988">
          <cell r="J988">
            <v>752.970178486447</v>
          </cell>
        </row>
        <row r="1002">
          <cell r="J1002">
            <v>1675.1080074097824</v>
          </cell>
        </row>
        <row r="1015">
          <cell r="J1015">
            <v>846.3885250812694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1">
          <cell r="B41">
            <v>1713773.7799999998</v>
          </cell>
          <cell r="C41">
            <v>1712319.6400000001</v>
          </cell>
        </row>
        <row r="42">
          <cell r="B42">
            <v>1109389.0299999998</v>
          </cell>
          <cell r="C42">
            <v>1093312.6</v>
          </cell>
        </row>
        <row r="44">
          <cell r="B44">
            <v>1118336.7999999998</v>
          </cell>
          <cell r="C44">
            <v>1117784.1000000003</v>
          </cell>
        </row>
        <row r="45">
          <cell r="B45">
            <v>1535069.8300000003</v>
          </cell>
          <cell r="C45">
            <v>1504403.5300000003</v>
          </cell>
        </row>
        <row r="46">
          <cell r="B46">
            <v>1029291.5100000002</v>
          </cell>
          <cell r="C46">
            <v>1012568.93</v>
          </cell>
        </row>
        <row r="47">
          <cell r="B47">
            <v>1116723.3800000001</v>
          </cell>
          <cell r="C47">
            <v>1100461.7</v>
          </cell>
        </row>
        <row r="48">
          <cell r="B48">
            <v>859551.7</v>
          </cell>
          <cell r="C48">
            <v>820870.7200000001</v>
          </cell>
        </row>
        <row r="49">
          <cell r="B49">
            <v>848701.7999999999</v>
          </cell>
          <cell r="C49">
            <v>850524.22</v>
          </cell>
        </row>
        <row r="50">
          <cell r="B50">
            <v>865090.55</v>
          </cell>
          <cell r="C50">
            <v>863590.8900000001</v>
          </cell>
        </row>
        <row r="51">
          <cell r="B51">
            <v>658742.73</v>
          </cell>
          <cell r="C51">
            <v>651528.7700000001</v>
          </cell>
        </row>
        <row r="52">
          <cell r="B52">
            <v>494404.02999999997</v>
          </cell>
          <cell r="C52">
            <v>480870.92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3">
          <cell r="B43">
            <v>911076.2000000001</v>
          </cell>
          <cell r="C43">
            <v>892854.6760000001</v>
          </cell>
        </row>
        <row r="60">
          <cell r="B60">
            <v>5049358.5200000005</v>
          </cell>
          <cell r="C60">
            <v>4984499.26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940">
          <cell r="J940">
            <v>546.9912167362124</v>
          </cell>
        </row>
        <row r="1057">
          <cell r="J1057">
            <v>114.48298079756351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4"/>
  <sheetViews>
    <sheetView zoomScalePageLayoutView="0" workbookViewId="0" topLeftCell="A196">
      <selection activeCell="A208" sqref="A208:IV208"/>
    </sheetView>
  </sheetViews>
  <sheetFormatPr defaultColWidth="9.140625" defaultRowHeight="15"/>
  <cols>
    <col min="1" max="1" width="2.140625" style="21" customWidth="1"/>
    <col min="2" max="2" width="6.8515625" style="21" customWidth="1"/>
    <col min="3" max="3" width="32.57421875" style="21" customWidth="1"/>
    <col min="4" max="4" width="36.28125" style="21" customWidth="1"/>
    <col min="5" max="5" width="13.140625" style="21" customWidth="1"/>
    <col min="6" max="6" width="12.7109375" style="21" customWidth="1"/>
    <col min="7" max="7" width="3.28125" style="21" customWidth="1"/>
    <col min="8" max="9" width="11.57421875" style="21" bestFit="1" customWidth="1"/>
    <col min="10" max="16384" width="9.140625" style="21" customWidth="1"/>
  </cols>
  <sheetData>
    <row r="1" spans="1:7" ht="24" customHeight="1">
      <c r="A1" s="109" t="s">
        <v>79</v>
      </c>
      <c r="B1" s="110"/>
      <c r="C1" s="110"/>
      <c r="D1" s="110"/>
      <c r="E1" s="110"/>
      <c r="F1" s="110"/>
      <c r="G1" s="110"/>
    </row>
    <row r="2" spans="2:5" ht="12" customHeight="1">
      <c r="B2" s="88" t="s">
        <v>0</v>
      </c>
      <c r="C2" s="88"/>
      <c r="D2" s="88"/>
      <c r="E2" s="7"/>
    </row>
    <row r="3" spans="2:12" ht="21" customHeight="1">
      <c r="B3" s="114" t="s">
        <v>1</v>
      </c>
      <c r="C3" s="84"/>
      <c r="D3" s="84"/>
      <c r="E3" s="27" t="s">
        <v>112</v>
      </c>
      <c r="H3" s="125" t="s">
        <v>108</v>
      </c>
      <c r="I3" s="125"/>
      <c r="J3" s="125"/>
      <c r="K3" s="125"/>
      <c r="L3" s="125"/>
    </row>
    <row r="4" spans="2:12" ht="15" customHeight="1">
      <c r="B4" s="135" t="s">
        <v>49</v>
      </c>
      <c r="C4" s="120"/>
      <c r="D4" s="120"/>
      <c r="E4" s="136"/>
      <c r="H4" s="8" t="s">
        <v>26</v>
      </c>
      <c r="I4" s="8" t="s">
        <v>109</v>
      </c>
      <c r="J4" s="8" t="s">
        <v>47</v>
      </c>
      <c r="K4" s="8" t="s">
        <v>110</v>
      </c>
      <c r="L4" s="8" t="s">
        <v>111</v>
      </c>
    </row>
    <row r="5" spans="2:12" ht="23.25" customHeight="1" thickBot="1">
      <c r="B5" s="80" t="s">
        <v>40</v>
      </c>
      <c r="C5" s="81"/>
      <c r="D5" s="81"/>
      <c r="E5" s="18">
        <f>2.05*12*J5+2.05*J5*2+2.05*J5*4*2</f>
        <v>33779.899999999994</v>
      </c>
      <c r="H5" s="38">
        <v>128</v>
      </c>
      <c r="I5" s="38">
        <v>7003.5</v>
      </c>
      <c r="J5" s="38">
        <v>749</v>
      </c>
      <c r="K5" s="38">
        <f>J5</f>
        <v>749</v>
      </c>
      <c r="L5" s="38">
        <v>70</v>
      </c>
    </row>
    <row r="6" spans="2:5" ht="36" customHeight="1">
      <c r="B6" s="80" t="s">
        <v>31</v>
      </c>
      <c r="C6" s="81"/>
      <c r="D6" s="81"/>
      <c r="E6" s="18">
        <v>40819.74</v>
      </c>
    </row>
    <row r="7" spans="2:5" ht="12" customHeight="1">
      <c r="B7" s="80" t="s">
        <v>32</v>
      </c>
      <c r="C7" s="81"/>
      <c r="D7" s="81"/>
      <c r="E7" s="18">
        <f>I5*2.05*2</f>
        <v>28714.35</v>
      </c>
    </row>
    <row r="8" spans="2:5" ht="12" customHeight="1" hidden="1">
      <c r="B8" s="80" t="s">
        <v>33</v>
      </c>
      <c r="C8" s="81"/>
      <c r="D8" s="81"/>
      <c r="E8" s="18"/>
    </row>
    <row r="9" spans="2:5" ht="24" customHeight="1">
      <c r="B9" s="80" t="s">
        <v>34</v>
      </c>
      <c r="C9" s="81"/>
      <c r="D9" s="81"/>
      <c r="E9" s="18">
        <f>(3*121.53*2*I5/1000)*3</f>
        <v>15320.436390000003</v>
      </c>
    </row>
    <row r="10" spans="2:5" ht="12" customHeight="1">
      <c r="B10" s="80" t="s">
        <v>14</v>
      </c>
      <c r="C10" s="81"/>
      <c r="D10" s="81"/>
      <c r="E10" s="18">
        <f>12*I5*0.83</f>
        <v>69754.86</v>
      </c>
    </row>
    <row r="11" spans="2:5" ht="12" customHeight="1">
      <c r="B11" s="80" t="s">
        <v>16</v>
      </c>
      <c r="C11" s="81"/>
      <c r="D11" s="81"/>
      <c r="E11" s="18">
        <f>12*I5*6.05</f>
        <v>508454.1</v>
      </c>
    </row>
    <row r="12" spans="2:5" ht="12" customHeight="1">
      <c r="B12" s="80" t="s">
        <v>17</v>
      </c>
      <c r="C12" s="81"/>
      <c r="D12" s="81"/>
      <c r="E12" s="18">
        <f>1*L5*286.7*2</f>
        <v>40138</v>
      </c>
    </row>
    <row r="13" spans="2:5" ht="12" customHeight="1">
      <c r="B13" s="80" t="s">
        <v>15</v>
      </c>
      <c r="C13" s="81"/>
      <c r="D13" s="81"/>
      <c r="E13" s="18">
        <f>12*I5*0.54</f>
        <v>45382.68</v>
      </c>
    </row>
    <row r="14" spans="2:9" ht="12" customHeight="1">
      <c r="B14" s="104" t="s">
        <v>19</v>
      </c>
      <c r="C14" s="105"/>
      <c r="D14" s="105"/>
      <c r="E14" s="18">
        <v>20000</v>
      </c>
      <c r="I14" s="10"/>
    </row>
    <row r="15" spans="2:5" ht="6" customHeight="1">
      <c r="B15" s="94" t="s">
        <v>18</v>
      </c>
      <c r="C15" s="95"/>
      <c r="D15" s="95"/>
      <c r="E15" s="111">
        <f>12*I5*(1.13+1.08)</f>
        <v>185732.82</v>
      </c>
    </row>
    <row r="16" spans="2:5" ht="6" customHeight="1">
      <c r="B16" s="97"/>
      <c r="C16" s="98"/>
      <c r="D16" s="98"/>
      <c r="E16" s="111"/>
    </row>
    <row r="17" spans="2:5" ht="6" customHeight="1">
      <c r="B17" s="74" t="s">
        <v>35</v>
      </c>
      <c r="C17" s="74"/>
      <c r="D17" s="74"/>
      <c r="E17" s="111">
        <f>12*I5*2.18</f>
        <v>183211.56000000003</v>
      </c>
    </row>
    <row r="18" spans="2:5" ht="6" customHeight="1">
      <c r="B18" s="74"/>
      <c r="C18" s="74"/>
      <c r="D18" s="74"/>
      <c r="E18" s="111"/>
    </row>
    <row r="19" spans="2:5" ht="12" customHeight="1">
      <c r="B19" s="74" t="s">
        <v>41</v>
      </c>
      <c r="C19" s="74"/>
      <c r="D19" s="74"/>
      <c r="E19" s="18">
        <f>12*I5*0.37</f>
        <v>31095.54</v>
      </c>
    </row>
    <row r="20" spans="2:5" ht="12" customHeight="1">
      <c r="B20" s="74" t="s">
        <v>42</v>
      </c>
      <c r="C20" s="74"/>
      <c r="D20" s="74"/>
      <c r="E20" s="18">
        <f>H5*2*80%*2*137.35*0.38</f>
        <v>21378.2528</v>
      </c>
    </row>
    <row r="21" spans="2:5" ht="12" customHeight="1">
      <c r="B21" s="74" t="s">
        <v>43</v>
      </c>
      <c r="C21" s="74"/>
      <c r="D21" s="74"/>
      <c r="E21" s="18">
        <f>H5*80%*2*137.35*0.38</f>
        <v>10689.1264</v>
      </c>
    </row>
    <row r="22" spans="2:5" ht="12" customHeight="1">
      <c r="B22" s="74" t="s">
        <v>38</v>
      </c>
      <c r="C22" s="74"/>
      <c r="D22" s="74"/>
      <c r="E22" s="18">
        <v>2000</v>
      </c>
    </row>
    <row r="23" spans="2:5" ht="23.25" customHeight="1">
      <c r="B23" s="74" t="s">
        <v>144</v>
      </c>
      <c r="C23" s="74"/>
      <c r="D23" s="74"/>
      <c r="E23" s="22">
        <f>4079*4</f>
        <v>16316</v>
      </c>
    </row>
    <row r="24" spans="2:5" ht="12" customHeight="1">
      <c r="B24" s="74" t="s">
        <v>37</v>
      </c>
      <c r="C24" s="74"/>
      <c r="D24" s="74"/>
      <c r="E24" s="6">
        <v>41891.2</v>
      </c>
    </row>
    <row r="25" spans="2:5" ht="12" customHeight="1">
      <c r="B25" s="74" t="s">
        <v>48</v>
      </c>
      <c r="C25" s="75"/>
      <c r="D25" s="75"/>
      <c r="E25" s="6">
        <f>68.68*37*2</f>
        <v>5082.320000000001</v>
      </c>
    </row>
    <row r="26" spans="2:5" ht="12" customHeight="1">
      <c r="B26" s="74" t="s">
        <v>4</v>
      </c>
      <c r="C26" s="75"/>
      <c r="D26" s="75"/>
      <c r="E26" s="6">
        <f>8378.96/68.68*100*2</f>
        <v>24399.999999999993</v>
      </c>
    </row>
    <row r="27" spans="2:5" ht="12" customHeight="1">
      <c r="B27" s="74" t="s">
        <v>5</v>
      </c>
      <c r="C27" s="75"/>
      <c r="D27" s="75"/>
      <c r="E27" s="6">
        <f>1579.64/68.68*28*4</f>
        <v>2576</v>
      </c>
    </row>
    <row r="28" spans="2:5" s="60" customFormat="1" ht="12" customHeight="1">
      <c r="B28" s="67" t="s">
        <v>92</v>
      </c>
      <c r="C28" s="67"/>
      <c r="D28" s="67"/>
      <c r="E28" s="11">
        <f>112.6*1</f>
        <v>112.6</v>
      </c>
    </row>
    <row r="29" spans="2:5" s="64" customFormat="1" ht="12" customHeight="1">
      <c r="B29" s="67" t="s">
        <v>87</v>
      </c>
      <c r="C29" s="67"/>
      <c r="D29" s="67"/>
      <c r="E29" s="14">
        <f>2*'[1]на июль 15г'!$J$238</f>
        <v>10208.20409270605</v>
      </c>
    </row>
    <row r="30" spans="2:5" s="60" customFormat="1" ht="12" customHeight="1">
      <c r="B30" s="67" t="s">
        <v>128</v>
      </c>
      <c r="C30" s="67"/>
      <c r="D30" s="67"/>
      <c r="E30" s="14">
        <f>3*'[1]на июль 15г'!$J$277</f>
        <v>2506.5003622086374</v>
      </c>
    </row>
    <row r="31" spans="2:5" s="64" customFormat="1" ht="12.75" customHeight="1">
      <c r="B31" s="67" t="s">
        <v>145</v>
      </c>
      <c r="C31" s="67"/>
      <c r="D31" s="67"/>
      <c r="E31" s="14">
        <f>15*'[2]на июль 15г'!$J$988</f>
        <v>11294.552677296706</v>
      </c>
    </row>
    <row r="32" spans="2:5" s="60" customFormat="1" ht="12" customHeight="1">
      <c r="B32" s="67" t="s">
        <v>69</v>
      </c>
      <c r="C32" s="67"/>
      <c r="D32" s="67"/>
      <c r="E32" s="14">
        <f>2*'[1]на июль 15г'!$J$290+'[5]на июль 15г'!$J$940*3</f>
        <v>2859.072179681062</v>
      </c>
    </row>
    <row r="33" spans="2:5" s="60" customFormat="1" ht="12" customHeight="1">
      <c r="B33" s="67" t="s">
        <v>68</v>
      </c>
      <c r="C33" s="67"/>
      <c r="D33" s="67"/>
      <c r="E33" s="14">
        <f>5*'[1]на июль 15г'!$J$277</f>
        <v>4177.500603681063</v>
      </c>
    </row>
    <row r="34" spans="2:5" s="60" customFormat="1" ht="12" customHeight="1">
      <c r="B34" s="67" t="s">
        <v>70</v>
      </c>
      <c r="C34" s="78"/>
      <c r="D34" s="78"/>
      <c r="E34" s="14">
        <f>6*'[1]на июль 15г'!$J$333</f>
        <v>5734.057159693099</v>
      </c>
    </row>
    <row r="35" spans="2:5" s="60" customFormat="1" ht="12" customHeight="1">
      <c r="B35" s="67" t="s">
        <v>62</v>
      </c>
      <c r="C35" s="67"/>
      <c r="D35" s="67"/>
      <c r="E35" s="14">
        <f>15*'[1]на июль 15г'!$J$323</f>
        <v>1499.6324223765707</v>
      </c>
    </row>
    <row r="36" spans="2:5" s="64" customFormat="1" ht="12" customHeight="1">
      <c r="B36" s="67" t="s">
        <v>7</v>
      </c>
      <c r="C36" s="67"/>
      <c r="D36" s="67"/>
      <c r="E36" s="14">
        <f>1*'[1]на июль 15г'!$J$264</f>
        <v>70.89432176238583</v>
      </c>
    </row>
    <row r="37" spans="2:5" s="64" customFormat="1" ht="12" customHeight="1">
      <c r="B37" s="67" t="s">
        <v>8</v>
      </c>
      <c r="C37" s="67"/>
      <c r="D37" s="67"/>
      <c r="E37" s="12">
        <f>100*'[1]на июль 15г'!$J$211</f>
        <v>5761.003152965285</v>
      </c>
    </row>
    <row r="38" spans="2:5" s="64" customFormat="1" ht="12" customHeight="1">
      <c r="B38" s="67" t="s">
        <v>125</v>
      </c>
      <c r="C38" s="67"/>
      <c r="D38" s="67"/>
      <c r="E38" s="12">
        <f>22*'[1]на июль 15г'!$J$211</f>
        <v>1267.4206936523626</v>
      </c>
    </row>
    <row r="39" spans="2:5" s="64" customFormat="1" ht="14.25" customHeight="1">
      <c r="B39" s="67" t="s">
        <v>89</v>
      </c>
      <c r="C39" s="67"/>
      <c r="D39" s="67"/>
      <c r="E39" s="12">
        <f>81*'[5]на июль 15г'!$J$1057</f>
        <v>9273.121444602644</v>
      </c>
    </row>
    <row r="40" spans="2:5" s="64" customFormat="1" ht="14.25" customHeight="1">
      <c r="B40" s="67" t="s">
        <v>154</v>
      </c>
      <c r="C40" s="67"/>
      <c r="D40" s="67"/>
      <c r="E40" s="12">
        <f>21*'[1]на июль 15г'!$J$198</f>
        <v>3454.6689291978423</v>
      </c>
    </row>
    <row r="41" spans="2:5" s="3" customFormat="1" ht="12" customHeight="1">
      <c r="B41" s="67" t="s">
        <v>80</v>
      </c>
      <c r="C41" s="67"/>
      <c r="D41" s="67"/>
      <c r="E41" s="11">
        <v>28195.7</v>
      </c>
    </row>
    <row r="42" spans="2:5" ht="12" customHeight="1">
      <c r="B42" s="67" t="s">
        <v>12</v>
      </c>
      <c r="C42" s="67"/>
      <c r="D42" s="67"/>
      <c r="E42" s="14">
        <f>2*'[1]на июль 15г'!$J$444</f>
        <v>1369.231642964998</v>
      </c>
    </row>
    <row r="43" spans="2:5" ht="12" customHeight="1">
      <c r="B43" s="67" t="s">
        <v>6</v>
      </c>
      <c r="C43" s="67"/>
      <c r="D43" s="67"/>
      <c r="E43" s="14">
        <f>2*'[1]на июль 15г'!$J$454</f>
        <v>1727.853775778237</v>
      </c>
    </row>
    <row r="44" spans="2:5" ht="12" customHeight="1">
      <c r="B44" s="67" t="s">
        <v>63</v>
      </c>
      <c r="C44" s="67"/>
      <c r="D44" s="67"/>
      <c r="E44" s="14">
        <f>2*'[1]на июль 15г'!$J$464</f>
        <v>1854.77579173155</v>
      </c>
    </row>
    <row r="45" spans="2:5" ht="12" customHeight="1">
      <c r="B45" s="70" t="s">
        <v>23</v>
      </c>
      <c r="C45" s="144"/>
      <c r="D45" s="145"/>
      <c r="E45" s="14">
        <f>2.5*'[1]на июль 15г'!$J$504</f>
        <v>4410.300499489362</v>
      </c>
    </row>
    <row r="46" spans="2:5" ht="11.25" customHeight="1">
      <c r="B46" s="67" t="s">
        <v>113</v>
      </c>
      <c r="C46" s="78"/>
      <c r="D46" s="78"/>
      <c r="E46" s="14">
        <f>1*'[1]на июль 15г'!$J$710</f>
        <v>3527.265147079781</v>
      </c>
    </row>
    <row r="47" spans="2:6" ht="23.25" customHeight="1">
      <c r="B47" s="67" t="s">
        <v>84</v>
      </c>
      <c r="C47" s="78"/>
      <c r="D47" s="78"/>
      <c r="E47" s="14">
        <f>5*'[1]на июль 15г'!$J$915</f>
        <v>2335.1079544889967</v>
      </c>
      <c r="F47" s="3"/>
    </row>
    <row r="48" spans="2:6" ht="12" customHeight="1">
      <c r="B48" s="67" t="s">
        <v>81</v>
      </c>
      <c r="C48" s="67"/>
      <c r="D48" s="67"/>
      <c r="E48" s="14">
        <f>3*'[1]на июль 15г'!$J$535</f>
        <v>1190.1585117023708</v>
      </c>
      <c r="F48" s="3"/>
    </row>
    <row r="49" spans="2:6" ht="24.75" customHeight="1">
      <c r="B49" s="67" t="s">
        <v>83</v>
      </c>
      <c r="C49" s="67"/>
      <c r="D49" s="67"/>
      <c r="E49" s="12">
        <f>3*'[1]на июль 15г'!$J$565</f>
        <v>1525.755043003915</v>
      </c>
      <c r="F49" s="3"/>
    </row>
    <row r="50" spans="2:5" ht="15">
      <c r="B50" s="67" t="s">
        <v>99</v>
      </c>
      <c r="C50" s="67"/>
      <c r="D50" s="67"/>
      <c r="E50" s="11">
        <v>16984.78</v>
      </c>
    </row>
    <row r="51" spans="2:5" s="59" customFormat="1" ht="12.75" customHeight="1">
      <c r="B51" s="67" t="s">
        <v>166</v>
      </c>
      <c r="C51" s="67"/>
      <c r="D51" s="67"/>
      <c r="E51" s="11">
        <f>223.42*8</f>
        <v>1787.36</v>
      </c>
    </row>
    <row r="52" spans="2:5" ht="12.75" customHeight="1">
      <c r="B52" s="67" t="s">
        <v>10</v>
      </c>
      <c r="C52" s="67"/>
      <c r="D52" s="67"/>
      <c r="E52" s="11">
        <f>10*2000</f>
        <v>20000</v>
      </c>
    </row>
    <row r="53" ht="15">
      <c r="E53" s="39">
        <f>SUM(E5:E52)</f>
        <v>1469864.401996064</v>
      </c>
    </row>
    <row r="54" spans="3:5" ht="12" customHeight="1">
      <c r="C54" s="40" t="s">
        <v>72</v>
      </c>
      <c r="D54" s="142">
        <f>'[3]Лист1'!$B$41</f>
        <v>1713773.7799999998</v>
      </c>
      <c r="E54" s="122"/>
    </row>
    <row r="55" spans="3:5" ht="12" customHeight="1">
      <c r="C55" s="40" t="s">
        <v>9</v>
      </c>
      <c r="D55" s="143">
        <f>'[3]Лист1'!$C$41</f>
        <v>1712319.6400000001</v>
      </c>
      <c r="E55" s="103"/>
    </row>
    <row r="56" spans="3:6" ht="12" customHeight="1">
      <c r="C56" s="40" t="s">
        <v>106</v>
      </c>
      <c r="D56" s="41"/>
      <c r="E56" s="42">
        <f>SUM(E5:E52)</f>
        <v>1469864.401996064</v>
      </c>
      <c r="F56" s="36"/>
    </row>
    <row r="57" spans="3:4" ht="97.5" customHeight="1">
      <c r="C57" s="40"/>
      <c r="D57" s="41"/>
    </row>
    <row r="58" spans="1:7" ht="24" customHeight="1">
      <c r="A58" s="109" t="s">
        <v>79</v>
      </c>
      <c r="B58" s="110"/>
      <c r="C58" s="110"/>
      <c r="D58" s="110"/>
      <c r="E58" s="110"/>
      <c r="F58" s="110"/>
      <c r="G58" s="110"/>
    </row>
    <row r="59" spans="2:5" ht="12" customHeight="1">
      <c r="B59" s="139" t="s">
        <v>0</v>
      </c>
      <c r="C59" s="139"/>
      <c r="D59" s="139"/>
      <c r="E59" s="7"/>
    </row>
    <row r="60" spans="2:12" ht="21" customHeight="1">
      <c r="B60" s="140" t="s">
        <v>1</v>
      </c>
      <c r="C60" s="75"/>
      <c r="D60" s="75"/>
      <c r="E60" s="43" t="s">
        <v>112</v>
      </c>
      <c r="H60" s="125" t="s">
        <v>108</v>
      </c>
      <c r="I60" s="125"/>
      <c r="J60" s="125"/>
      <c r="K60" s="125"/>
      <c r="L60" s="125"/>
    </row>
    <row r="61" spans="2:12" ht="15" customHeight="1" thickBot="1">
      <c r="B61" s="141" t="s">
        <v>50</v>
      </c>
      <c r="C61" s="136"/>
      <c r="D61" s="136"/>
      <c r="E61" s="136"/>
      <c r="H61" s="8" t="s">
        <v>26</v>
      </c>
      <c r="I61" s="8" t="s">
        <v>109</v>
      </c>
      <c r="J61" s="8" t="s">
        <v>47</v>
      </c>
      <c r="K61" s="8" t="s">
        <v>110</v>
      </c>
      <c r="L61" s="8" t="s">
        <v>111</v>
      </c>
    </row>
    <row r="62" spans="2:12" ht="23.25" customHeight="1" thickBot="1">
      <c r="B62" s="80" t="s">
        <v>40</v>
      </c>
      <c r="C62" s="81"/>
      <c r="D62" s="81"/>
      <c r="E62" s="18">
        <f>2.05*J62*12+J62*2*2.05+2.05*4*J62</f>
        <v>53224.560000000005</v>
      </c>
      <c r="H62" s="1">
        <v>119</v>
      </c>
      <c r="I62" s="1">
        <v>5723.8</v>
      </c>
      <c r="J62" s="1">
        <v>1442.4</v>
      </c>
      <c r="K62" s="1">
        <f>J62</f>
        <v>1442.4</v>
      </c>
      <c r="L62" s="2">
        <v>88</v>
      </c>
    </row>
    <row r="63" spans="2:5" ht="36" customHeight="1">
      <c r="B63" s="80" t="s">
        <v>31</v>
      </c>
      <c r="C63" s="81"/>
      <c r="D63" s="81"/>
      <c r="E63" s="18">
        <f>(I62*2.05*2)</f>
        <v>23467.579999999998</v>
      </c>
    </row>
    <row r="64" spans="2:5" ht="12" customHeight="1">
      <c r="B64" s="80" t="s">
        <v>32</v>
      </c>
      <c r="C64" s="81"/>
      <c r="D64" s="81"/>
      <c r="E64" s="18">
        <f>I62*2.05*2</f>
        <v>23467.579999999998</v>
      </c>
    </row>
    <row r="65" spans="2:5" ht="12" customHeight="1" hidden="1">
      <c r="B65" s="80" t="s">
        <v>33</v>
      </c>
      <c r="C65" s="81"/>
      <c r="D65" s="81"/>
      <c r="E65" s="18"/>
    </row>
    <row r="66" spans="2:5" ht="22.5" customHeight="1">
      <c r="B66" s="80" t="s">
        <v>34</v>
      </c>
      <c r="C66" s="81"/>
      <c r="D66" s="81"/>
      <c r="E66" s="18">
        <f>(3*121.53*2*I62/1000)*3</f>
        <v>12521.041452000001</v>
      </c>
    </row>
    <row r="67" spans="2:5" ht="12" customHeight="1">
      <c r="B67" s="80" t="s">
        <v>14</v>
      </c>
      <c r="C67" s="81"/>
      <c r="D67" s="81"/>
      <c r="E67" s="18">
        <f>12*I62*0.83</f>
        <v>57009.048</v>
      </c>
    </row>
    <row r="68" spans="2:5" ht="12" customHeight="1">
      <c r="B68" s="80" t="s">
        <v>16</v>
      </c>
      <c r="C68" s="81"/>
      <c r="D68" s="81"/>
      <c r="E68" s="18">
        <f>12*I62*6.05</f>
        <v>415547.88</v>
      </c>
    </row>
    <row r="69" spans="2:5" ht="12" customHeight="1">
      <c r="B69" s="76" t="s">
        <v>17</v>
      </c>
      <c r="C69" s="77"/>
      <c r="D69" s="77"/>
      <c r="E69" s="5">
        <f>1*L62*286.7*2</f>
        <v>50459.2</v>
      </c>
    </row>
    <row r="70" spans="2:5" ht="12" customHeight="1">
      <c r="B70" s="74" t="s">
        <v>15</v>
      </c>
      <c r="C70" s="74"/>
      <c r="D70" s="74"/>
      <c r="E70" s="18">
        <f>12*I62*0.54</f>
        <v>37090.224</v>
      </c>
    </row>
    <row r="71" spans="2:5" ht="12" customHeight="1">
      <c r="B71" s="79" t="s">
        <v>19</v>
      </c>
      <c r="C71" s="79"/>
      <c r="D71" s="79"/>
      <c r="E71" s="18">
        <v>10000</v>
      </c>
    </row>
    <row r="72" spans="2:5" ht="6" customHeight="1">
      <c r="B72" s="74" t="s">
        <v>18</v>
      </c>
      <c r="C72" s="74"/>
      <c r="D72" s="74"/>
      <c r="E72" s="111">
        <f>12*I62*0.72</f>
        <v>49453.632000000005</v>
      </c>
    </row>
    <row r="73" spans="2:5" ht="6" customHeight="1">
      <c r="B73" s="74"/>
      <c r="C73" s="74"/>
      <c r="D73" s="74"/>
      <c r="E73" s="111"/>
    </row>
    <row r="74" spans="2:5" ht="6" customHeight="1">
      <c r="B74" s="74" t="s">
        <v>35</v>
      </c>
      <c r="C74" s="74"/>
      <c r="D74" s="74"/>
      <c r="E74" s="111">
        <f>12*I62*1.59</f>
        <v>109210.10400000002</v>
      </c>
    </row>
    <row r="75" spans="2:5" ht="6" customHeight="1">
      <c r="B75" s="74"/>
      <c r="C75" s="74"/>
      <c r="D75" s="74"/>
      <c r="E75" s="111"/>
    </row>
    <row r="76" spans="1:12" s="19" customFormat="1" ht="12" customHeight="1">
      <c r="A76" s="21"/>
      <c r="B76" s="74" t="s">
        <v>46</v>
      </c>
      <c r="C76" s="74"/>
      <c r="D76" s="74"/>
      <c r="E76" s="18">
        <f>2100</f>
        <v>2100</v>
      </c>
      <c r="F76" s="21"/>
      <c r="G76" s="21"/>
      <c r="H76" s="21"/>
      <c r="I76" s="21"/>
      <c r="J76" s="21"/>
      <c r="K76" s="21"/>
      <c r="L76" s="21"/>
    </row>
    <row r="77" spans="2:5" ht="12" customHeight="1">
      <c r="B77" s="74" t="s">
        <v>41</v>
      </c>
      <c r="C77" s="74"/>
      <c r="D77" s="74"/>
      <c r="E77" s="18">
        <f>12*I62*0.37</f>
        <v>25413.672000000002</v>
      </c>
    </row>
    <row r="78" spans="2:5" ht="12" customHeight="1">
      <c r="B78" s="74" t="s">
        <v>42</v>
      </c>
      <c r="C78" s="74"/>
      <c r="D78" s="74"/>
      <c r="E78" s="18">
        <f>H62*2*80%*2*137.35*0.38</f>
        <v>19875.094399999998</v>
      </c>
    </row>
    <row r="79" spans="2:5" ht="12" customHeight="1">
      <c r="B79" s="74" t="s">
        <v>43</v>
      </c>
      <c r="C79" s="74"/>
      <c r="D79" s="74"/>
      <c r="E79" s="18">
        <f>H62*77%*2*137.35*0.38</f>
        <v>9564.88918</v>
      </c>
    </row>
    <row r="80" spans="2:5" ht="12" customHeight="1">
      <c r="B80" s="74" t="s">
        <v>44</v>
      </c>
      <c r="C80" s="75"/>
      <c r="D80" s="75"/>
      <c r="E80" s="6">
        <f>26*68.68</f>
        <v>1785.6800000000003</v>
      </c>
    </row>
    <row r="81" spans="2:5" ht="12" customHeight="1">
      <c r="B81" s="74" t="s">
        <v>4</v>
      </c>
      <c r="C81" s="75"/>
      <c r="D81" s="75"/>
      <c r="E81" s="6">
        <f>68.68*49</f>
        <v>3365.32</v>
      </c>
    </row>
    <row r="82" spans="2:5" ht="12" customHeight="1">
      <c r="B82" s="74" t="s">
        <v>67</v>
      </c>
      <c r="C82" s="75"/>
      <c r="D82" s="75"/>
      <c r="E82" s="6">
        <f>68.68*17</f>
        <v>1167.5600000000002</v>
      </c>
    </row>
    <row r="83" spans="2:5" s="64" customFormat="1" ht="12.75" customHeight="1">
      <c r="B83" s="113" t="s">
        <v>69</v>
      </c>
      <c r="C83" s="113"/>
      <c r="D83" s="113"/>
      <c r="E83" s="12">
        <f>'[2]на июль 15г'!$J$974*1</f>
        <v>672.1700975325577</v>
      </c>
    </row>
    <row r="84" spans="2:5" s="64" customFormat="1" ht="12" customHeight="1">
      <c r="B84" s="67" t="s">
        <v>89</v>
      </c>
      <c r="C84" s="67"/>
      <c r="D84" s="67"/>
      <c r="E84" s="12">
        <f>75*'[5]на июль 15г'!$J$1057</f>
        <v>8586.223559817263</v>
      </c>
    </row>
    <row r="85" spans="2:5" s="64" customFormat="1" ht="15">
      <c r="B85" s="67" t="s">
        <v>154</v>
      </c>
      <c r="C85" s="67"/>
      <c r="D85" s="67"/>
      <c r="E85" s="12">
        <f>12*'[1]на июль 15г'!$J$198</f>
        <v>1974.0965309701955</v>
      </c>
    </row>
    <row r="86" spans="2:5" s="64" customFormat="1" ht="12" customHeight="1">
      <c r="B86" s="67" t="s">
        <v>170</v>
      </c>
      <c r="C86" s="67"/>
      <c r="D86" s="67"/>
      <c r="E86" s="14">
        <f>1*'[1]на июль 15г'!$J$251</f>
        <v>5019.891178155766</v>
      </c>
    </row>
    <row r="87" spans="2:5" s="64" customFormat="1" ht="12" customHeight="1">
      <c r="B87" s="67" t="s">
        <v>62</v>
      </c>
      <c r="C87" s="67"/>
      <c r="D87" s="67"/>
      <c r="E87" s="12">
        <f>7*'[1]на июль 15г'!$J$323</f>
        <v>699.828463775733</v>
      </c>
    </row>
    <row r="88" spans="2:5" s="64" customFormat="1" ht="12.75" customHeight="1">
      <c r="B88" s="67" t="s">
        <v>145</v>
      </c>
      <c r="C88" s="67"/>
      <c r="D88" s="67"/>
      <c r="E88" s="14">
        <f>2*'[2]на июль 15г'!$J$988</f>
        <v>1505.940356972894</v>
      </c>
    </row>
    <row r="89" spans="2:5" s="64" customFormat="1" ht="12" customHeight="1">
      <c r="B89" s="67" t="s">
        <v>90</v>
      </c>
      <c r="C89" s="67"/>
      <c r="D89" s="67"/>
      <c r="E89" s="14">
        <f>2*'[2]на июль 15г'!$J$224</f>
        <v>3102.4548754457614</v>
      </c>
    </row>
    <row r="90" spans="2:5" s="64" customFormat="1" ht="14.25" customHeight="1">
      <c r="B90" s="67" t="s">
        <v>125</v>
      </c>
      <c r="C90" s="67"/>
      <c r="D90" s="67"/>
      <c r="E90" s="12">
        <f>19*'[1]на июль 15г'!$J$211</f>
        <v>1094.5905990634042</v>
      </c>
    </row>
    <row r="91" spans="2:5" s="64" customFormat="1" ht="12.75" customHeight="1">
      <c r="B91" s="67" t="s">
        <v>8</v>
      </c>
      <c r="C91" s="67"/>
      <c r="D91" s="67"/>
      <c r="E91" s="12">
        <f>22*'[1]на июль 15г'!$J$211</f>
        <v>1267.4206936523626</v>
      </c>
    </row>
    <row r="92" spans="2:5" s="64" customFormat="1" ht="12" customHeight="1">
      <c r="B92" s="67" t="s">
        <v>7</v>
      </c>
      <c r="C92" s="67"/>
      <c r="D92" s="67"/>
      <c r="E92" s="12">
        <f>4*'[1]на июль 15г'!$J$264</f>
        <v>283.5772870495433</v>
      </c>
    </row>
    <row r="93" spans="2:5" s="3" customFormat="1" ht="12" customHeight="1">
      <c r="B93" s="67" t="s">
        <v>129</v>
      </c>
      <c r="C93" s="67"/>
      <c r="D93" s="67"/>
      <c r="E93" s="12">
        <v>27178.47</v>
      </c>
    </row>
    <row r="94" spans="2:6" ht="22.5" customHeight="1">
      <c r="B94" s="67" t="s">
        <v>83</v>
      </c>
      <c r="C94" s="67"/>
      <c r="D94" s="67"/>
      <c r="E94" s="12">
        <f>8.5*'[1]на июль 15г'!$J$565</f>
        <v>4322.972621844426</v>
      </c>
      <c r="F94" s="3"/>
    </row>
    <row r="95" spans="2:6" ht="13.5" customHeight="1">
      <c r="B95" s="67" t="s">
        <v>82</v>
      </c>
      <c r="C95" s="67"/>
      <c r="D95" s="67"/>
      <c r="E95" s="12">
        <f>8.5*'[1]на июль 15г'!$J$535</f>
        <v>3372.115783156717</v>
      </c>
      <c r="F95" s="3"/>
    </row>
    <row r="96" spans="2:5" ht="12" customHeight="1">
      <c r="B96" s="67" t="s">
        <v>22</v>
      </c>
      <c r="C96" s="67"/>
      <c r="D96" s="67"/>
      <c r="E96" s="12">
        <f>2*'[1]на июль 15г'!$J$434</f>
        <v>1224.7278445285513</v>
      </c>
    </row>
    <row r="97" spans="2:5" ht="12" customHeight="1">
      <c r="B97" s="67" t="s">
        <v>12</v>
      </c>
      <c r="C97" s="67"/>
      <c r="D97" s="67"/>
      <c r="E97" s="12">
        <f>2*'[1]на июль 15г'!$J$444</f>
        <v>1369.231642964998</v>
      </c>
    </row>
    <row r="98" spans="2:5" ht="12.75" customHeight="1">
      <c r="B98" s="67" t="s">
        <v>20</v>
      </c>
      <c r="C98" s="67"/>
      <c r="D98" s="67"/>
      <c r="E98" s="12">
        <f>2*'[1]на июль 15г'!$J$484</f>
        <v>2608.3207676848633</v>
      </c>
    </row>
    <row r="99" spans="2:5" s="3" customFormat="1" ht="12" customHeight="1">
      <c r="B99" s="67" t="s">
        <v>66</v>
      </c>
      <c r="C99" s="78"/>
      <c r="D99" s="78"/>
      <c r="E99" s="12">
        <f>3*('[1]на июль 15г'!$J$688+'[1]на июль 15г'!$J$677)</f>
        <v>5290.182805832754</v>
      </c>
    </row>
    <row r="100" spans="2:5" ht="12" customHeight="1">
      <c r="B100" s="67" t="s">
        <v>13</v>
      </c>
      <c r="C100" s="67"/>
      <c r="D100" s="67"/>
      <c r="E100" s="12">
        <v>1874.07</v>
      </c>
    </row>
    <row r="101" spans="2:5" s="59" customFormat="1" ht="14.25" customHeight="1">
      <c r="B101" s="67" t="s">
        <v>123</v>
      </c>
      <c r="C101" s="67"/>
      <c r="D101" s="70"/>
      <c r="E101" s="12">
        <v>111901</v>
      </c>
    </row>
    <row r="102" spans="2:5" ht="24" customHeight="1">
      <c r="B102" s="67" t="s">
        <v>99</v>
      </c>
      <c r="C102" s="78"/>
      <c r="D102" s="78"/>
      <c r="E102" s="12">
        <f>6456.52</f>
        <v>6456.52</v>
      </c>
    </row>
    <row r="103" spans="2:5" s="24" customFormat="1" ht="12.75" customHeight="1">
      <c r="B103" s="67" t="s">
        <v>11</v>
      </c>
      <c r="C103" s="67"/>
      <c r="D103" s="67"/>
      <c r="E103" s="11">
        <f>2201.44+550.57+7000</f>
        <v>9752.01</v>
      </c>
    </row>
    <row r="104" spans="2:5" ht="12" customHeight="1">
      <c r="B104" s="67" t="s">
        <v>100</v>
      </c>
      <c r="C104" s="67"/>
      <c r="D104" s="67"/>
      <c r="E104" s="12">
        <v>4840</v>
      </c>
    </row>
    <row r="105" spans="2:5" ht="12" customHeight="1">
      <c r="B105" s="67" t="s">
        <v>10</v>
      </c>
      <c r="C105" s="67"/>
      <c r="D105" s="67"/>
      <c r="E105" s="12">
        <f>1800*4</f>
        <v>7200</v>
      </c>
    </row>
    <row r="106" spans="2:5" ht="12" customHeight="1">
      <c r="B106" s="67" t="s">
        <v>130</v>
      </c>
      <c r="C106" s="78"/>
      <c r="D106" s="78"/>
      <c r="E106" s="12">
        <v>3458.99</v>
      </c>
    </row>
    <row r="107" spans="2:5" ht="12" customHeight="1">
      <c r="B107" s="67" t="s">
        <v>118</v>
      </c>
      <c r="C107" s="78"/>
      <c r="D107" s="78"/>
      <c r="E107" s="12">
        <v>2821</v>
      </c>
    </row>
    <row r="108" ht="15">
      <c r="E108" s="39">
        <f>SUM(E62:E107)</f>
        <v>1122598.8701404477</v>
      </c>
    </row>
    <row r="109" spans="3:5" ht="12" customHeight="1">
      <c r="C109" s="40" t="s">
        <v>72</v>
      </c>
      <c r="D109" s="137">
        <f>'[3]Лист1'!$B$42</f>
        <v>1109389.0299999998</v>
      </c>
      <c r="E109" s="138"/>
    </row>
    <row r="110" spans="3:5" ht="12" customHeight="1">
      <c r="C110" s="40" t="s">
        <v>9</v>
      </c>
      <c r="D110" s="102">
        <f>'[3]Лист1'!$C$42</f>
        <v>1093312.6</v>
      </c>
      <c r="E110" s="103"/>
    </row>
    <row r="111" spans="3:6" ht="12" customHeight="1">
      <c r="C111" s="40" t="s">
        <v>106</v>
      </c>
      <c r="D111" s="44"/>
      <c r="E111" s="66">
        <f>SUM(E62:E107)</f>
        <v>1122598.8701404477</v>
      </c>
      <c r="F111" s="7"/>
    </row>
    <row r="112" spans="3:5" ht="129.75" customHeight="1">
      <c r="C112" s="40"/>
      <c r="D112" s="45"/>
      <c r="E112" s="9"/>
    </row>
    <row r="113" spans="1:7" ht="24" customHeight="1">
      <c r="A113" s="109" t="s">
        <v>79</v>
      </c>
      <c r="B113" s="110"/>
      <c r="C113" s="110"/>
      <c r="D113" s="110"/>
      <c r="E113" s="110"/>
      <c r="F113" s="110"/>
      <c r="G113" s="110"/>
    </row>
    <row r="114" spans="2:5" ht="12" customHeight="1">
      <c r="B114" s="88" t="s">
        <v>0</v>
      </c>
      <c r="C114" s="88"/>
      <c r="D114" s="88"/>
      <c r="E114" s="7"/>
    </row>
    <row r="115" spans="2:12" ht="21" customHeight="1">
      <c r="B115" s="133" t="s">
        <v>1</v>
      </c>
      <c r="C115" s="134"/>
      <c r="D115" s="134"/>
      <c r="E115" s="43" t="s">
        <v>112</v>
      </c>
      <c r="H115" s="125" t="s">
        <v>108</v>
      </c>
      <c r="I115" s="125"/>
      <c r="J115" s="125"/>
      <c r="K115" s="125"/>
      <c r="L115" s="125"/>
    </row>
    <row r="116" spans="2:12" ht="15" customHeight="1" thickBot="1">
      <c r="B116" s="135" t="s">
        <v>51</v>
      </c>
      <c r="C116" s="120"/>
      <c r="D116" s="120"/>
      <c r="E116" s="136"/>
      <c r="H116" s="8" t="s">
        <v>26</v>
      </c>
      <c r="I116" s="8" t="s">
        <v>109</v>
      </c>
      <c r="J116" s="8" t="s">
        <v>47</v>
      </c>
      <c r="K116" s="8" t="s">
        <v>110</v>
      </c>
      <c r="L116" s="8" t="s">
        <v>111</v>
      </c>
    </row>
    <row r="117" spans="2:12" ht="23.25" customHeight="1" thickBot="1">
      <c r="B117" s="80" t="s">
        <v>40</v>
      </c>
      <c r="C117" s="81"/>
      <c r="D117" s="81"/>
      <c r="E117" s="18">
        <f>2.05*J117*12+J117*2*2.05+2.05*4*J117</f>
        <v>64689.38999999999</v>
      </c>
      <c r="H117" s="1">
        <v>127</v>
      </c>
      <c r="I117" s="1">
        <v>5289.7</v>
      </c>
      <c r="J117" s="1">
        <v>1753.1</v>
      </c>
      <c r="K117" s="1">
        <f>J117</f>
        <v>1753.1</v>
      </c>
      <c r="L117" s="2">
        <v>104</v>
      </c>
    </row>
    <row r="118" spans="2:5" ht="36" customHeight="1">
      <c r="B118" s="80" t="s">
        <v>31</v>
      </c>
      <c r="C118" s="81"/>
      <c r="D118" s="81"/>
      <c r="E118" s="18">
        <f>(I117*2.05*2)</f>
        <v>21687.769999999997</v>
      </c>
    </row>
    <row r="119" spans="2:5" ht="12" customHeight="1">
      <c r="B119" s="80" t="s">
        <v>32</v>
      </c>
      <c r="C119" s="81"/>
      <c r="D119" s="81"/>
      <c r="E119" s="18">
        <f>I117*2.05*2</f>
        <v>21687.769999999997</v>
      </c>
    </row>
    <row r="120" spans="2:5" ht="12" customHeight="1" hidden="1">
      <c r="B120" s="80" t="s">
        <v>33</v>
      </c>
      <c r="C120" s="81"/>
      <c r="D120" s="81"/>
      <c r="E120" s="18"/>
    </row>
    <row r="121" spans="2:5" ht="24.75" customHeight="1">
      <c r="B121" s="80" t="s">
        <v>34</v>
      </c>
      <c r="C121" s="81"/>
      <c r="D121" s="81"/>
      <c r="E121" s="18">
        <f>(3*121.53*2*I117/1000)*3</f>
        <v>11571.430338</v>
      </c>
    </row>
    <row r="122" spans="2:5" ht="12" customHeight="1">
      <c r="B122" s="80" t="s">
        <v>14</v>
      </c>
      <c r="C122" s="81"/>
      <c r="D122" s="81"/>
      <c r="E122" s="18">
        <f>12*I117*0.83</f>
        <v>52685.41199999999</v>
      </c>
    </row>
    <row r="123" spans="2:5" ht="12" customHeight="1">
      <c r="B123" s="80" t="s">
        <v>16</v>
      </c>
      <c r="C123" s="81"/>
      <c r="D123" s="81"/>
      <c r="E123" s="18">
        <f>12*I117*6.05</f>
        <v>384032.22</v>
      </c>
    </row>
    <row r="124" spans="2:5" ht="12" customHeight="1">
      <c r="B124" s="80" t="s">
        <v>17</v>
      </c>
      <c r="C124" s="81"/>
      <c r="D124" s="81"/>
      <c r="E124" s="18">
        <f>1*L117*286.7*2</f>
        <v>59633.6</v>
      </c>
    </row>
    <row r="125" spans="2:5" ht="12" customHeight="1">
      <c r="B125" s="80" t="s">
        <v>15</v>
      </c>
      <c r="C125" s="81"/>
      <c r="D125" s="81"/>
      <c r="E125" s="18">
        <f>12*I117*0.54</f>
        <v>34277.256</v>
      </c>
    </row>
    <row r="126" spans="2:5" ht="12" customHeight="1">
      <c r="B126" s="104" t="s">
        <v>19</v>
      </c>
      <c r="C126" s="105"/>
      <c r="D126" s="105"/>
      <c r="E126" s="18">
        <v>20000</v>
      </c>
    </row>
    <row r="127" spans="2:5" ht="6" customHeight="1">
      <c r="B127" s="94" t="s">
        <v>18</v>
      </c>
      <c r="C127" s="95"/>
      <c r="D127" s="95"/>
      <c r="E127" s="111">
        <f>12*I117*0.59</f>
        <v>37451.075999999994</v>
      </c>
    </row>
    <row r="128" spans="2:5" ht="6" customHeight="1">
      <c r="B128" s="97"/>
      <c r="C128" s="98"/>
      <c r="D128" s="98"/>
      <c r="E128" s="111"/>
    </row>
    <row r="129" spans="2:5" ht="6" customHeight="1">
      <c r="B129" s="74" t="s">
        <v>35</v>
      </c>
      <c r="C129" s="74"/>
      <c r="D129" s="74"/>
      <c r="E129" s="111">
        <f>12*I117*3.39</f>
        <v>215184.99599999998</v>
      </c>
    </row>
    <row r="130" spans="2:5" ht="6" customHeight="1">
      <c r="B130" s="74"/>
      <c r="C130" s="74"/>
      <c r="D130" s="74"/>
      <c r="E130" s="111"/>
    </row>
    <row r="131" spans="1:12" s="19" customFormat="1" ht="12" customHeight="1">
      <c r="A131" s="21"/>
      <c r="B131" s="74" t="s">
        <v>46</v>
      </c>
      <c r="C131" s="74"/>
      <c r="D131" s="74"/>
      <c r="E131" s="18">
        <f>2100</f>
        <v>2100</v>
      </c>
      <c r="F131" s="21"/>
      <c r="G131" s="21"/>
      <c r="H131" s="21"/>
      <c r="I131" s="21"/>
      <c r="J131" s="21"/>
      <c r="K131" s="21"/>
      <c r="L131" s="21"/>
    </row>
    <row r="132" spans="2:5" ht="12" customHeight="1">
      <c r="B132" s="74" t="s">
        <v>41</v>
      </c>
      <c r="C132" s="74"/>
      <c r="D132" s="74"/>
      <c r="E132" s="18">
        <f>12*I117*0.37</f>
        <v>23486.267999999996</v>
      </c>
    </row>
    <row r="133" spans="2:5" ht="12" customHeight="1">
      <c r="B133" s="74" t="s">
        <v>42</v>
      </c>
      <c r="C133" s="74"/>
      <c r="D133" s="74"/>
      <c r="E133" s="18">
        <f>H117*2*70%*2*137.35*0.38</f>
        <v>18559.8308</v>
      </c>
    </row>
    <row r="134" spans="2:5" ht="12" customHeight="1">
      <c r="B134" s="74" t="s">
        <v>43</v>
      </c>
      <c r="C134" s="74"/>
      <c r="D134" s="74"/>
      <c r="E134" s="18">
        <f>H117*70%*2*137.35*0.38</f>
        <v>9279.9154</v>
      </c>
    </row>
    <row r="135" spans="2:5" ht="12" customHeight="1">
      <c r="B135" s="74" t="s">
        <v>44</v>
      </c>
      <c r="C135" s="75"/>
      <c r="D135" s="75"/>
      <c r="E135" s="6">
        <f>68.68*20</f>
        <v>1373.6000000000001</v>
      </c>
    </row>
    <row r="136" spans="2:5" ht="12" customHeight="1">
      <c r="B136" s="74" t="s">
        <v>4</v>
      </c>
      <c r="C136" s="75"/>
      <c r="D136" s="75"/>
      <c r="E136" s="6">
        <f>68.68*22</f>
        <v>1510.96</v>
      </c>
    </row>
    <row r="137" spans="2:5" ht="12" customHeight="1">
      <c r="B137" s="74" t="s">
        <v>45</v>
      </c>
      <c r="C137" s="75"/>
      <c r="D137" s="75"/>
      <c r="E137" s="6">
        <f>68.68*24</f>
        <v>1648.3200000000002</v>
      </c>
    </row>
    <row r="138" spans="2:5" ht="14.25" customHeight="1">
      <c r="B138" s="67" t="s">
        <v>11</v>
      </c>
      <c r="C138" s="67"/>
      <c r="D138" s="67"/>
      <c r="E138" s="11">
        <f>1801.67+285+1050.31+1257.31+20000+1000+2000+4000</f>
        <v>31394.29</v>
      </c>
    </row>
    <row r="139" spans="2:5" s="64" customFormat="1" ht="12" customHeight="1">
      <c r="B139" s="67" t="s">
        <v>173</v>
      </c>
      <c r="C139" s="78"/>
      <c r="D139" s="78"/>
      <c r="E139" s="14">
        <f>12*'[2]на июль 15г'!$J$1015+2*'[1]на июль 15г'!$J$333</f>
        <v>12068.014687539599</v>
      </c>
    </row>
    <row r="140" spans="2:5" s="64" customFormat="1" ht="12" customHeight="1">
      <c r="B140" s="67" t="s">
        <v>175</v>
      </c>
      <c r="C140" s="78"/>
      <c r="D140" s="78"/>
      <c r="E140" s="11">
        <f>12*214.6</f>
        <v>2575.2</v>
      </c>
    </row>
    <row r="141" spans="2:5" s="64" customFormat="1" ht="12" customHeight="1">
      <c r="B141" s="67" t="s">
        <v>92</v>
      </c>
      <c r="C141" s="67"/>
      <c r="D141" s="67"/>
      <c r="E141" s="11">
        <f>112.6*4</f>
        <v>450.4</v>
      </c>
    </row>
    <row r="142" spans="2:5" s="64" customFormat="1" ht="12.75" customHeight="1">
      <c r="B142" s="67" t="s">
        <v>145</v>
      </c>
      <c r="C142" s="67"/>
      <c r="D142" s="67"/>
      <c r="E142" s="14">
        <f>'[2]на июль 15г'!$J$988*18</f>
        <v>13553.463212756047</v>
      </c>
    </row>
    <row r="143" spans="2:5" s="64" customFormat="1" ht="12" customHeight="1">
      <c r="B143" s="67" t="s">
        <v>155</v>
      </c>
      <c r="C143" s="67"/>
      <c r="D143" s="67"/>
      <c r="E143" s="14">
        <f>1*'[2]на июль 15г'!$J$960</f>
        <v>1535.2004130751782</v>
      </c>
    </row>
    <row r="144" spans="2:5" s="64" customFormat="1" ht="14.25" customHeight="1">
      <c r="B144" s="67" t="s">
        <v>153</v>
      </c>
      <c r="C144" s="67"/>
      <c r="D144" s="67"/>
      <c r="E144" s="14">
        <f>50.89*10</f>
        <v>508.9</v>
      </c>
    </row>
    <row r="145" spans="2:5" s="64" customFormat="1" ht="12" customHeight="1">
      <c r="B145" s="67" t="s">
        <v>87</v>
      </c>
      <c r="C145" s="67"/>
      <c r="D145" s="67"/>
      <c r="E145" s="14">
        <f>2*'[1]на июль 15г'!$J$238</f>
        <v>10208.20409270605</v>
      </c>
    </row>
    <row r="146" spans="2:5" s="64" customFormat="1" ht="12" customHeight="1">
      <c r="B146" s="67" t="s">
        <v>128</v>
      </c>
      <c r="C146" s="67"/>
      <c r="D146" s="67"/>
      <c r="E146" s="14">
        <f>1*'[1]на июль 15г'!$J$277</f>
        <v>835.5001207362125</v>
      </c>
    </row>
    <row r="147" spans="2:5" s="64" customFormat="1" ht="24" customHeight="1">
      <c r="B147" s="113" t="s">
        <v>69</v>
      </c>
      <c r="C147" s="113"/>
      <c r="D147" s="113"/>
      <c r="E147" s="14">
        <f>1*'[1]на июль 15г'!$J$290</f>
        <v>609.0492647362124</v>
      </c>
    </row>
    <row r="148" spans="2:5" s="64" customFormat="1" ht="12" customHeight="1">
      <c r="B148" s="67" t="s">
        <v>90</v>
      </c>
      <c r="C148" s="67"/>
      <c r="D148" s="67"/>
      <c r="E148" s="14">
        <f>2*'[2]на июль 15г'!$J$224</f>
        <v>3102.4548754457614</v>
      </c>
    </row>
    <row r="149" spans="2:5" s="64" customFormat="1" ht="12" customHeight="1">
      <c r="B149" s="67" t="s">
        <v>8</v>
      </c>
      <c r="C149" s="67"/>
      <c r="D149" s="67"/>
      <c r="E149" s="12">
        <f>134*'[1]на июль 15г'!$J$211</f>
        <v>7719.744224973482</v>
      </c>
    </row>
    <row r="150" spans="2:5" s="64" customFormat="1" ht="14.25" customHeight="1">
      <c r="B150" s="67" t="s">
        <v>125</v>
      </c>
      <c r="C150" s="67"/>
      <c r="D150" s="67"/>
      <c r="E150" s="12">
        <f>35*'[1]на июль 15г'!$J$211</f>
        <v>2016.3511035378497</v>
      </c>
    </row>
    <row r="151" spans="2:5" s="64" customFormat="1" ht="15" customHeight="1">
      <c r="B151" s="67" t="s">
        <v>89</v>
      </c>
      <c r="C151" s="67"/>
      <c r="D151" s="67"/>
      <c r="E151" s="12">
        <f>30*'[5]на июль 15г'!$J$1057</f>
        <v>3434.4894239269056</v>
      </c>
    </row>
    <row r="152" spans="2:5" s="64" customFormat="1" ht="14.25" customHeight="1">
      <c r="B152" s="67" t="s">
        <v>154</v>
      </c>
      <c r="C152" s="67"/>
      <c r="D152" s="67"/>
      <c r="E152" s="12">
        <f>43*'[1]на июль 15г'!$J$198</f>
        <v>7073.845902643201</v>
      </c>
    </row>
    <row r="153" spans="2:5" s="64" customFormat="1" ht="12" customHeight="1">
      <c r="B153" s="67" t="s">
        <v>62</v>
      </c>
      <c r="C153" s="67"/>
      <c r="D153" s="67"/>
      <c r="E153" s="14">
        <f>5*'[1]на июль 15г'!$J$323</f>
        <v>499.8774741255236</v>
      </c>
    </row>
    <row r="154" spans="2:5" s="64" customFormat="1" ht="12" customHeight="1">
      <c r="B154" s="67" t="s">
        <v>7</v>
      </c>
      <c r="C154" s="67"/>
      <c r="D154" s="67"/>
      <c r="E154" s="14">
        <f>5*'[1]на июль 15г'!$J$264</f>
        <v>354.4716088119292</v>
      </c>
    </row>
    <row r="155" spans="2:5" s="3" customFormat="1" ht="12" customHeight="1">
      <c r="B155" s="67" t="s">
        <v>22</v>
      </c>
      <c r="C155" s="78"/>
      <c r="D155" s="78"/>
      <c r="E155" s="14">
        <f>14*'[1]на июль 15г'!$J$434</f>
        <v>8573.094911699858</v>
      </c>
    </row>
    <row r="156" spans="2:6" ht="12" customHeight="1">
      <c r="B156" s="67" t="s">
        <v>12</v>
      </c>
      <c r="C156" s="78"/>
      <c r="D156" s="78"/>
      <c r="E156" s="14">
        <f>12*'[1]на июль 15г'!$J$444</f>
        <v>8215.389857789987</v>
      </c>
      <c r="F156" s="3"/>
    </row>
    <row r="157" spans="2:5" ht="12" customHeight="1">
      <c r="B157" s="67" t="s">
        <v>63</v>
      </c>
      <c r="C157" s="78"/>
      <c r="D157" s="78"/>
      <c r="E157" s="14">
        <f>4*'[1]на июль 15г'!$J$464</f>
        <v>3709.5515834631</v>
      </c>
    </row>
    <row r="158" spans="2:5" ht="12" customHeight="1">
      <c r="B158" s="67" t="s">
        <v>20</v>
      </c>
      <c r="C158" s="78"/>
      <c r="D158" s="78"/>
      <c r="E158" s="14">
        <f>18*'[1]на июль 15г'!$J$484</f>
        <v>23474.886909163768</v>
      </c>
    </row>
    <row r="159" spans="2:6" ht="12" customHeight="1">
      <c r="B159" s="67" t="s">
        <v>81</v>
      </c>
      <c r="C159" s="67"/>
      <c r="D159" s="67"/>
      <c r="E159" s="14">
        <f>11*'[1]на июль 15г'!$J$535</f>
        <v>4363.914542908693</v>
      </c>
      <c r="F159" s="3"/>
    </row>
    <row r="160" spans="2:6" ht="24" customHeight="1">
      <c r="B160" s="67" t="s">
        <v>83</v>
      </c>
      <c r="C160" s="67"/>
      <c r="D160" s="67"/>
      <c r="E160" s="12">
        <f>11*'[1]на июль 15г'!$J$565</f>
        <v>5594.435157681022</v>
      </c>
      <c r="F160" s="3"/>
    </row>
    <row r="161" spans="2:5" ht="12" customHeight="1">
      <c r="B161" s="67" t="s">
        <v>66</v>
      </c>
      <c r="C161" s="78"/>
      <c r="D161" s="78"/>
      <c r="E161" s="14">
        <f>2*('[1]на июль 15г'!$J$677+'[1]на июль 15г'!$J$688)</f>
        <v>3526.788537221836</v>
      </c>
    </row>
    <row r="162" spans="2:5" ht="12.75" customHeight="1">
      <c r="B162" s="67" t="s">
        <v>85</v>
      </c>
      <c r="C162" s="67"/>
      <c r="D162" s="67"/>
      <c r="E162" s="12">
        <f>2*'[1]на июль 15г'!$J$721</f>
        <v>8972.606118089532</v>
      </c>
    </row>
    <row r="163" spans="2:5" s="24" customFormat="1" ht="15">
      <c r="B163" s="67" t="s">
        <v>11</v>
      </c>
      <c r="C163" s="67"/>
      <c r="D163" s="67"/>
      <c r="E163" s="11">
        <f>2201.44+550.57</f>
        <v>2752.01</v>
      </c>
    </row>
    <row r="164" spans="2:6" ht="24.75" customHeight="1">
      <c r="B164" s="67" t="s">
        <v>84</v>
      </c>
      <c r="C164" s="78"/>
      <c r="D164" s="78"/>
      <c r="E164" s="14">
        <f>1*'[1]на июль 15г'!$J$915</f>
        <v>467.02159089779934</v>
      </c>
      <c r="F164" s="3"/>
    </row>
    <row r="165" spans="2:5" ht="12" customHeight="1">
      <c r="B165" s="67" t="s">
        <v>96</v>
      </c>
      <c r="C165" s="78"/>
      <c r="D165" s="78"/>
      <c r="E165" s="11">
        <f>1491.71+2387.5</f>
        <v>3879.21</v>
      </c>
    </row>
    <row r="166" spans="2:5" s="59" customFormat="1" ht="14.25" customHeight="1">
      <c r="B166" s="67" t="s">
        <v>167</v>
      </c>
      <c r="C166" s="67"/>
      <c r="D166" s="67"/>
      <c r="E166" s="12">
        <v>74588</v>
      </c>
    </row>
    <row r="167" spans="2:5" ht="14.25" customHeight="1">
      <c r="B167" s="67" t="s">
        <v>150</v>
      </c>
      <c r="C167" s="67"/>
      <c r="D167" s="67"/>
      <c r="E167" s="12">
        <v>744</v>
      </c>
    </row>
    <row r="168" spans="2:6" s="59" customFormat="1" ht="12" customHeight="1">
      <c r="B168" s="67" t="s">
        <v>166</v>
      </c>
      <c r="C168" s="78"/>
      <c r="D168" s="78"/>
      <c r="E168" s="11">
        <f>223.42*8</f>
        <v>1787.36</v>
      </c>
      <c r="F168" s="46"/>
    </row>
    <row r="169" spans="2:6" ht="12" customHeight="1">
      <c r="B169" s="67" t="s">
        <v>124</v>
      </c>
      <c r="C169" s="78"/>
      <c r="D169" s="78"/>
      <c r="E169" s="11">
        <v>3563</v>
      </c>
      <c r="F169" s="46"/>
    </row>
    <row r="170" ht="15">
      <c r="E170" s="39">
        <f>SUM(E117:E169)</f>
        <v>1233010.5401519297</v>
      </c>
    </row>
    <row r="171" spans="3:5" ht="12" customHeight="1">
      <c r="C171" s="40" t="s">
        <v>72</v>
      </c>
      <c r="D171" s="112">
        <f>'[4]Лист1'!$B$43</f>
        <v>911076.2000000001</v>
      </c>
      <c r="E171" s="122"/>
    </row>
    <row r="172" spans="3:5" ht="12" customHeight="1">
      <c r="C172" s="40" t="s">
        <v>9</v>
      </c>
      <c r="D172" s="102">
        <f>'[4]Лист1'!$C$43</f>
        <v>892854.6760000001</v>
      </c>
      <c r="E172" s="103"/>
    </row>
    <row r="173" spans="3:5" ht="12" customHeight="1">
      <c r="C173" s="40" t="s">
        <v>106</v>
      </c>
      <c r="D173" s="41"/>
      <c r="E173" s="42">
        <f>SUM(E117:E169)</f>
        <v>1233010.5401519297</v>
      </c>
    </row>
    <row r="174" spans="3:4" ht="37.5" customHeight="1">
      <c r="C174" s="40"/>
      <c r="D174" s="41"/>
    </row>
    <row r="175" spans="1:7" ht="24" customHeight="1">
      <c r="A175" s="109" t="s">
        <v>79</v>
      </c>
      <c r="B175" s="110"/>
      <c r="C175" s="110"/>
      <c r="D175" s="110"/>
      <c r="E175" s="110"/>
      <c r="F175" s="110"/>
      <c r="G175" s="110"/>
    </row>
    <row r="176" spans="2:5" ht="12" customHeight="1">
      <c r="B176" s="88" t="s">
        <v>0</v>
      </c>
      <c r="C176" s="88"/>
      <c r="D176" s="88"/>
      <c r="E176" s="7"/>
    </row>
    <row r="177" spans="2:12" ht="21" customHeight="1">
      <c r="B177" s="146" t="s">
        <v>1</v>
      </c>
      <c r="C177" s="147"/>
      <c r="D177" s="147"/>
      <c r="E177" s="43" t="s">
        <v>112</v>
      </c>
      <c r="H177" s="125" t="s">
        <v>108</v>
      </c>
      <c r="I177" s="125"/>
      <c r="J177" s="125"/>
      <c r="K177" s="125"/>
      <c r="L177" s="125"/>
    </row>
    <row r="178" spans="2:12" ht="15" customHeight="1" thickBot="1">
      <c r="B178" s="132" t="s">
        <v>52</v>
      </c>
      <c r="C178" s="103"/>
      <c r="D178" s="103"/>
      <c r="E178" s="103"/>
      <c r="H178" s="8" t="s">
        <v>26</v>
      </c>
      <c r="I178" s="8" t="s">
        <v>109</v>
      </c>
      <c r="J178" s="8" t="s">
        <v>47</v>
      </c>
      <c r="K178" s="8" t="s">
        <v>110</v>
      </c>
      <c r="L178" s="8" t="s">
        <v>111</v>
      </c>
    </row>
    <row r="179" spans="2:12" ht="23.25" customHeight="1" thickBot="1">
      <c r="B179" s="80" t="s">
        <v>40</v>
      </c>
      <c r="C179" s="81"/>
      <c r="D179" s="81"/>
      <c r="E179" s="18">
        <f>2.05*J179*12+J179*2*2.05+2.05*4*J179</f>
        <v>53800.19999999999</v>
      </c>
      <c r="H179" s="1">
        <v>119</v>
      </c>
      <c r="I179" s="1">
        <v>5770</v>
      </c>
      <c r="J179" s="1">
        <v>1458</v>
      </c>
      <c r="K179" s="1">
        <f>J179</f>
        <v>1458</v>
      </c>
      <c r="L179" s="2">
        <v>88</v>
      </c>
    </row>
    <row r="180" spans="2:5" ht="36" customHeight="1">
      <c r="B180" s="80" t="s">
        <v>31</v>
      </c>
      <c r="C180" s="81"/>
      <c r="D180" s="81"/>
      <c r="E180" s="18">
        <f>(I179*2.05*2)</f>
        <v>23656.999999999996</v>
      </c>
    </row>
    <row r="181" spans="2:5" ht="12" customHeight="1">
      <c r="B181" s="80" t="s">
        <v>32</v>
      </c>
      <c r="C181" s="81"/>
      <c r="D181" s="81"/>
      <c r="E181" s="18">
        <f>I179*2.05*2</f>
        <v>23656.999999999996</v>
      </c>
    </row>
    <row r="182" spans="2:5" ht="12" customHeight="1" hidden="1">
      <c r="B182" s="76" t="s">
        <v>33</v>
      </c>
      <c r="C182" s="77"/>
      <c r="D182" s="77"/>
      <c r="E182" s="5"/>
    </row>
    <row r="183" spans="2:5" ht="24" customHeight="1">
      <c r="B183" s="74" t="s">
        <v>34</v>
      </c>
      <c r="C183" s="74"/>
      <c r="D183" s="74"/>
      <c r="E183" s="18">
        <f>(3*121.53*2*I179/1000)*3</f>
        <v>12622.105800000001</v>
      </c>
    </row>
    <row r="184" spans="2:5" ht="12" customHeight="1">
      <c r="B184" s="74" t="s">
        <v>14</v>
      </c>
      <c r="C184" s="74"/>
      <c r="D184" s="74"/>
      <c r="E184" s="18">
        <f>12*I179*0.83</f>
        <v>57469.2</v>
      </c>
    </row>
    <row r="185" spans="2:5" ht="12" customHeight="1">
      <c r="B185" s="74" t="s">
        <v>16</v>
      </c>
      <c r="C185" s="74"/>
      <c r="D185" s="74"/>
      <c r="E185" s="18">
        <f>12*I179*6.05</f>
        <v>418902</v>
      </c>
    </row>
    <row r="186" spans="2:5" ht="12" customHeight="1">
      <c r="B186" s="74" t="s">
        <v>17</v>
      </c>
      <c r="C186" s="74"/>
      <c r="D186" s="74"/>
      <c r="E186" s="18">
        <f>1*L179*286.7*2</f>
        <v>50459.2</v>
      </c>
    </row>
    <row r="187" spans="2:5" ht="12" customHeight="1">
      <c r="B187" s="74" t="s">
        <v>15</v>
      </c>
      <c r="C187" s="74"/>
      <c r="D187" s="74"/>
      <c r="E187" s="18">
        <f>12*I179*0.54</f>
        <v>37389.600000000006</v>
      </c>
    </row>
    <row r="188" spans="2:5" ht="12" customHeight="1">
      <c r="B188" s="79" t="s">
        <v>19</v>
      </c>
      <c r="C188" s="79"/>
      <c r="D188" s="79"/>
      <c r="E188" s="18">
        <v>10000</v>
      </c>
    </row>
    <row r="189" spans="2:5" ht="6" customHeight="1">
      <c r="B189" s="74" t="s">
        <v>18</v>
      </c>
      <c r="C189" s="74"/>
      <c r="D189" s="74"/>
      <c r="E189" s="111">
        <f>12*I179*0.8</f>
        <v>55392</v>
      </c>
    </row>
    <row r="190" spans="2:5" ht="6" customHeight="1">
      <c r="B190" s="74"/>
      <c r="C190" s="74"/>
      <c r="D190" s="74"/>
      <c r="E190" s="111"/>
    </row>
    <row r="191" spans="2:5" ht="6" customHeight="1">
      <c r="B191" s="74" t="s">
        <v>35</v>
      </c>
      <c r="C191" s="74"/>
      <c r="D191" s="74"/>
      <c r="E191" s="111">
        <f>12*I179*1.57</f>
        <v>108706.8</v>
      </c>
    </row>
    <row r="192" spans="2:5" ht="6" customHeight="1">
      <c r="B192" s="74"/>
      <c r="C192" s="74"/>
      <c r="D192" s="74"/>
      <c r="E192" s="111"/>
    </row>
    <row r="193" spans="2:5" ht="12" customHeight="1">
      <c r="B193" s="74" t="s">
        <v>41</v>
      </c>
      <c r="C193" s="74"/>
      <c r="D193" s="74"/>
      <c r="E193" s="18">
        <f>12*I179*0.37</f>
        <v>25618.8</v>
      </c>
    </row>
    <row r="194" spans="2:5" s="17" customFormat="1" ht="12" customHeight="1">
      <c r="B194" s="151" t="s">
        <v>61</v>
      </c>
      <c r="C194" s="152"/>
      <c r="D194" s="152"/>
      <c r="E194" s="20">
        <v>2100</v>
      </c>
    </row>
    <row r="195" spans="2:5" ht="12" customHeight="1">
      <c r="B195" s="74" t="s">
        <v>42</v>
      </c>
      <c r="C195" s="74"/>
      <c r="D195" s="74"/>
      <c r="E195" s="18">
        <f>H179*2*80%*2*137.35*0.38</f>
        <v>19875.094399999998</v>
      </c>
    </row>
    <row r="196" spans="2:5" ht="12" customHeight="1">
      <c r="B196" s="74" t="s">
        <v>43</v>
      </c>
      <c r="C196" s="74"/>
      <c r="D196" s="74"/>
      <c r="E196" s="18">
        <f>H179*80%*2*137.35*0.38</f>
        <v>9937.547199999999</v>
      </c>
    </row>
    <row r="197" spans="2:5" ht="12" customHeight="1">
      <c r="B197" s="74" t="s">
        <v>44</v>
      </c>
      <c r="C197" s="75"/>
      <c r="D197" s="75"/>
      <c r="E197" s="6">
        <f>68.68*22</f>
        <v>1510.96</v>
      </c>
    </row>
    <row r="198" spans="2:5" ht="12" customHeight="1">
      <c r="B198" s="74" t="s">
        <v>4</v>
      </c>
      <c r="C198" s="75"/>
      <c r="D198" s="75"/>
      <c r="E198" s="6">
        <f>68.68*70</f>
        <v>4807.6</v>
      </c>
    </row>
    <row r="199" spans="2:5" ht="12" customHeight="1">
      <c r="B199" s="74" t="s">
        <v>45</v>
      </c>
      <c r="C199" s="75"/>
      <c r="D199" s="75"/>
      <c r="E199" s="6">
        <f>68.68*24</f>
        <v>1648.3200000000002</v>
      </c>
    </row>
    <row r="200" spans="2:5" ht="12" customHeight="1">
      <c r="B200" s="67" t="s">
        <v>121</v>
      </c>
      <c r="C200" s="67"/>
      <c r="D200" s="67"/>
      <c r="E200" s="14">
        <f>3*1888</f>
        <v>5664</v>
      </c>
    </row>
    <row r="201" spans="2:5" s="64" customFormat="1" ht="11.25" customHeight="1">
      <c r="B201" s="67" t="s">
        <v>145</v>
      </c>
      <c r="C201" s="67"/>
      <c r="D201" s="67"/>
      <c r="E201" s="14">
        <f>'[2]на июль 15г'!$J$988*12</f>
        <v>9035.642141837365</v>
      </c>
    </row>
    <row r="202" spans="2:5" s="64" customFormat="1" ht="15">
      <c r="B202" s="67" t="s">
        <v>153</v>
      </c>
      <c r="C202" s="67"/>
      <c r="D202" s="67"/>
      <c r="E202" s="14">
        <f>50.89*3</f>
        <v>152.67000000000002</v>
      </c>
    </row>
    <row r="203" spans="2:5" s="64" customFormat="1" ht="15" customHeight="1">
      <c r="B203" s="67" t="s">
        <v>89</v>
      </c>
      <c r="C203" s="67"/>
      <c r="D203" s="67"/>
      <c r="E203" s="12">
        <f>66*'[5]на июль 15г'!$J$1057</f>
        <v>7555.876732639192</v>
      </c>
    </row>
    <row r="204" spans="2:5" s="64" customFormat="1" ht="13.5" customHeight="1">
      <c r="B204" s="67" t="s">
        <v>131</v>
      </c>
      <c r="C204" s="67"/>
      <c r="D204" s="67"/>
      <c r="E204" s="12">
        <f>44*'[1]на июль 15г'!$J$211</f>
        <v>2534.8413873047252</v>
      </c>
    </row>
    <row r="205" spans="2:5" s="64" customFormat="1" ht="12" customHeight="1">
      <c r="B205" s="67" t="s">
        <v>155</v>
      </c>
      <c r="C205" s="67"/>
      <c r="D205" s="67"/>
      <c r="E205" s="14">
        <f>1*'[2]на июль 15г'!$J$960</f>
        <v>1535.2004130751782</v>
      </c>
    </row>
    <row r="206" spans="2:5" s="64" customFormat="1" ht="12" customHeight="1">
      <c r="B206" s="67" t="s">
        <v>8</v>
      </c>
      <c r="C206" s="67"/>
      <c r="D206" s="67"/>
      <c r="E206" s="12">
        <f>74*'[1]на июль 15г'!$J$211</f>
        <v>4263.142333194311</v>
      </c>
    </row>
    <row r="207" spans="2:5" s="64" customFormat="1" ht="12" customHeight="1">
      <c r="B207" s="67" t="s">
        <v>7</v>
      </c>
      <c r="C207" s="67"/>
      <c r="D207" s="67"/>
      <c r="E207" s="14">
        <f>3*'[1]на июль 15г'!$J$264</f>
        <v>212.6829652871575</v>
      </c>
    </row>
    <row r="208" spans="2:5" s="64" customFormat="1" ht="12" customHeight="1">
      <c r="B208" s="67" t="s">
        <v>70</v>
      </c>
      <c r="C208" s="67"/>
      <c r="D208" s="67"/>
      <c r="E208" s="14">
        <f>'[2]на июль 15г'!$J$333*1</f>
        <v>955.6761932821831</v>
      </c>
    </row>
    <row r="209" spans="2:5" s="64" customFormat="1" ht="12" customHeight="1">
      <c r="B209" s="67" t="s">
        <v>87</v>
      </c>
      <c r="C209" s="67"/>
      <c r="D209" s="67"/>
      <c r="E209" s="14">
        <f>1*'[1]на июль 15г'!$J$238</f>
        <v>5104.102046353025</v>
      </c>
    </row>
    <row r="210" spans="2:5" s="64" customFormat="1" ht="12" customHeight="1">
      <c r="B210" s="67" t="s">
        <v>128</v>
      </c>
      <c r="C210" s="67"/>
      <c r="D210" s="67"/>
      <c r="E210" s="14">
        <f>2*'[1]на июль 15г'!$J$277</f>
        <v>1671.000241472425</v>
      </c>
    </row>
    <row r="211" spans="2:5" s="64" customFormat="1" ht="12" customHeight="1">
      <c r="B211" s="67" t="s">
        <v>139</v>
      </c>
      <c r="C211" s="67"/>
      <c r="D211" s="67"/>
      <c r="E211" s="14">
        <f>2*'[1]на июль 15г'!$J$277</f>
        <v>1671.000241472425</v>
      </c>
    </row>
    <row r="212" spans="2:5" s="64" customFormat="1" ht="12" customHeight="1">
      <c r="B212" s="67" t="s">
        <v>62</v>
      </c>
      <c r="C212" s="67"/>
      <c r="D212" s="67"/>
      <c r="E212" s="14">
        <f>2*'[1]на июль 15г'!$J$323</f>
        <v>199.95098965020944</v>
      </c>
    </row>
    <row r="213" spans="2:5" s="64" customFormat="1" ht="14.25" customHeight="1">
      <c r="B213" s="67" t="s">
        <v>154</v>
      </c>
      <c r="C213" s="67"/>
      <c r="D213" s="67"/>
      <c r="E213" s="12">
        <f>50*'[1]на июль 15г'!$J$198</f>
        <v>8225.402212375815</v>
      </c>
    </row>
    <row r="214" spans="2:6" ht="22.5" customHeight="1">
      <c r="B214" s="67" t="s">
        <v>83</v>
      </c>
      <c r="C214" s="67"/>
      <c r="D214" s="67"/>
      <c r="E214" s="14">
        <f>21*'[1]на июль 15г'!$J$565</f>
        <v>10680.285301027405</v>
      </c>
      <c r="F214" s="3"/>
    </row>
    <row r="215" spans="2:6" ht="12.75" customHeight="1">
      <c r="B215" s="67" t="s">
        <v>82</v>
      </c>
      <c r="C215" s="67"/>
      <c r="D215" s="67"/>
      <c r="E215" s="14">
        <f>21*'[1]на июль 15г'!$J$535</f>
        <v>8331.109581916595</v>
      </c>
      <c r="F215" s="3"/>
    </row>
    <row r="216" spans="2:5" ht="12" customHeight="1">
      <c r="B216" s="67" t="s">
        <v>85</v>
      </c>
      <c r="C216" s="67"/>
      <c r="D216" s="67"/>
      <c r="E216" s="14">
        <f>2*'[1]на июль 15г'!$J$721</f>
        <v>8972.606118089532</v>
      </c>
    </row>
    <row r="217" spans="2:6" ht="24.75" customHeight="1">
      <c r="B217" s="67" t="s">
        <v>84</v>
      </c>
      <c r="C217" s="78"/>
      <c r="D217" s="78"/>
      <c r="E217" s="14">
        <f>1*'[1]на июль 15г'!$J$915</f>
        <v>467.02159089779934</v>
      </c>
      <c r="F217" s="3"/>
    </row>
    <row r="218" spans="2:5" s="24" customFormat="1" ht="15">
      <c r="B218" s="67" t="s">
        <v>11</v>
      </c>
      <c r="C218" s="67"/>
      <c r="D218" s="67"/>
      <c r="E218" s="11">
        <f>2201.44+550.57+3000</f>
        <v>5752.01</v>
      </c>
    </row>
    <row r="219" spans="2:5" ht="12" customHeight="1">
      <c r="B219" s="67" t="s">
        <v>13</v>
      </c>
      <c r="C219" s="67"/>
      <c r="D219" s="67"/>
      <c r="E219" s="12">
        <v>874.07</v>
      </c>
    </row>
    <row r="220" spans="2:5" ht="12" customHeight="1">
      <c r="B220" s="67" t="s">
        <v>127</v>
      </c>
      <c r="C220" s="78"/>
      <c r="D220" s="78"/>
      <c r="E220" s="11">
        <v>194</v>
      </c>
    </row>
    <row r="221" spans="2:5" ht="12" customHeight="1">
      <c r="B221" s="67" t="s">
        <v>96</v>
      </c>
      <c r="C221" s="78"/>
      <c r="D221" s="78"/>
      <c r="E221" s="11">
        <f>1425.68</f>
        <v>1425.68</v>
      </c>
    </row>
    <row r="222" spans="2:5" ht="12" customHeight="1">
      <c r="B222" s="67" t="s">
        <v>21</v>
      </c>
      <c r="C222" s="78"/>
      <c r="D222" s="78"/>
      <c r="E222" s="11">
        <f>775.73+373.22</f>
        <v>1148.95</v>
      </c>
    </row>
    <row r="223" spans="2:5" s="59" customFormat="1" ht="14.25" customHeight="1">
      <c r="B223" s="67" t="s">
        <v>123</v>
      </c>
      <c r="C223" s="67"/>
      <c r="D223" s="70"/>
      <c r="E223" s="12">
        <v>223806</v>
      </c>
    </row>
    <row r="224" spans="2:5" s="59" customFormat="1" ht="12" customHeight="1">
      <c r="B224" s="67" t="s">
        <v>114</v>
      </c>
      <c r="C224" s="67"/>
      <c r="D224" s="67"/>
      <c r="E224" s="14">
        <f>1800*1</f>
        <v>1800</v>
      </c>
    </row>
    <row r="225" spans="2:5" s="59" customFormat="1" ht="12" customHeight="1">
      <c r="B225" s="68" t="s">
        <v>117</v>
      </c>
      <c r="C225" s="69"/>
      <c r="D225" s="69"/>
      <c r="E225" s="25">
        <v>1281.3</v>
      </c>
    </row>
    <row r="226" spans="2:5" ht="12" customHeight="1">
      <c r="B226" s="68" t="s">
        <v>166</v>
      </c>
      <c r="C226" s="69"/>
      <c r="D226" s="69"/>
      <c r="E226" s="25">
        <f>223.42*9</f>
        <v>2010.78</v>
      </c>
    </row>
    <row r="227" ht="15">
      <c r="E227" s="47">
        <f>SUM(E179:E226)</f>
        <v>1233078.4278898751</v>
      </c>
    </row>
    <row r="228" spans="3:5" ht="12" customHeight="1">
      <c r="C228" s="40" t="s">
        <v>72</v>
      </c>
      <c r="D228" s="112">
        <f>'[3]Лист1'!$B$44</f>
        <v>1118336.7999999998</v>
      </c>
      <c r="E228" s="131"/>
    </row>
    <row r="229" spans="3:5" ht="12" customHeight="1">
      <c r="C229" s="40" t="s">
        <v>9</v>
      </c>
      <c r="D229" s="102">
        <f>'[3]Лист1'!$C$44</f>
        <v>1117784.1000000003</v>
      </c>
      <c r="E229" s="103"/>
    </row>
    <row r="230" spans="3:6" ht="12" customHeight="1">
      <c r="C230" s="40" t="s">
        <v>106</v>
      </c>
      <c r="D230" s="49"/>
      <c r="E230" s="50">
        <f>SUM(E179:E226)</f>
        <v>1233078.4278898751</v>
      </c>
      <c r="F230" s="36"/>
    </row>
    <row r="231" spans="3:5" ht="124.5" customHeight="1">
      <c r="C231" s="40"/>
      <c r="D231" s="45"/>
      <c r="E231" s="9"/>
    </row>
    <row r="232" spans="1:7" ht="24" customHeight="1">
      <c r="A232" s="109" t="s">
        <v>79</v>
      </c>
      <c r="B232" s="110"/>
      <c r="C232" s="110"/>
      <c r="D232" s="110"/>
      <c r="E232" s="110"/>
      <c r="F232" s="110"/>
      <c r="G232" s="110"/>
    </row>
    <row r="233" spans="2:5" ht="12" customHeight="1">
      <c r="B233" s="88" t="s">
        <v>0</v>
      </c>
      <c r="C233" s="88"/>
      <c r="D233" s="88"/>
      <c r="E233" s="7"/>
    </row>
    <row r="234" spans="2:12" ht="21" customHeight="1">
      <c r="B234" s="83" t="s">
        <v>1</v>
      </c>
      <c r="C234" s="120"/>
      <c r="D234" s="120"/>
      <c r="E234" s="43" t="s">
        <v>112</v>
      </c>
      <c r="H234" s="125" t="s">
        <v>108</v>
      </c>
      <c r="I234" s="125"/>
      <c r="J234" s="125"/>
      <c r="K234" s="125"/>
      <c r="L234" s="125"/>
    </row>
    <row r="235" spans="2:12" ht="15" customHeight="1" thickBot="1">
      <c r="B235" s="121" t="s">
        <v>53</v>
      </c>
      <c r="C235" s="120"/>
      <c r="D235" s="120"/>
      <c r="E235" s="120"/>
      <c r="H235" s="8" t="s">
        <v>26</v>
      </c>
      <c r="I235" s="8" t="s">
        <v>109</v>
      </c>
      <c r="J235" s="8" t="s">
        <v>47</v>
      </c>
      <c r="K235" s="8" t="s">
        <v>110</v>
      </c>
      <c r="L235" s="8" t="s">
        <v>111</v>
      </c>
    </row>
    <row r="236" spans="2:12" ht="23.25" customHeight="1" thickBot="1">
      <c r="B236" s="80" t="s">
        <v>40</v>
      </c>
      <c r="C236" s="81"/>
      <c r="D236" s="81"/>
      <c r="E236" s="18">
        <f>2.05*J236*12+J236*2*2.05+2.05*4*J236</f>
        <v>45438.66</v>
      </c>
      <c r="H236" s="1">
        <v>143</v>
      </c>
      <c r="I236" s="1">
        <v>7647.9</v>
      </c>
      <c r="J236" s="1">
        <v>1231.4</v>
      </c>
      <c r="K236" s="1">
        <f>J236</f>
        <v>1231.4</v>
      </c>
      <c r="L236" s="2">
        <v>64</v>
      </c>
    </row>
    <row r="237" spans="2:5" ht="36" customHeight="1">
      <c r="B237" s="80" t="s">
        <v>31</v>
      </c>
      <c r="C237" s="81"/>
      <c r="D237" s="81"/>
      <c r="E237" s="18">
        <f>(I236*2.05*2)</f>
        <v>31356.389999999996</v>
      </c>
    </row>
    <row r="238" spans="2:5" ht="12" customHeight="1">
      <c r="B238" s="80" t="s">
        <v>32</v>
      </c>
      <c r="C238" s="81"/>
      <c r="D238" s="81"/>
      <c r="E238" s="18">
        <f>I236*2.05*2</f>
        <v>31356.389999999996</v>
      </c>
    </row>
    <row r="239" spans="2:5" ht="12" customHeight="1" hidden="1">
      <c r="B239" s="80" t="s">
        <v>33</v>
      </c>
      <c r="C239" s="81"/>
      <c r="D239" s="81"/>
      <c r="E239" s="18"/>
    </row>
    <row r="240" spans="2:5" ht="24.75" customHeight="1">
      <c r="B240" s="80" t="s">
        <v>34</v>
      </c>
      <c r="C240" s="81"/>
      <c r="D240" s="81"/>
      <c r="E240" s="18">
        <f>(3*121.53*2*I236/1000)*3</f>
        <v>16730.087166</v>
      </c>
    </row>
    <row r="241" spans="2:5" ht="12" customHeight="1">
      <c r="B241" s="80" t="s">
        <v>14</v>
      </c>
      <c r="C241" s="81"/>
      <c r="D241" s="81"/>
      <c r="E241" s="18">
        <f>12*I236*0.83</f>
        <v>76173.08399999999</v>
      </c>
    </row>
    <row r="242" spans="2:5" ht="12" customHeight="1">
      <c r="B242" s="80" t="s">
        <v>16</v>
      </c>
      <c r="C242" s="81"/>
      <c r="D242" s="81"/>
      <c r="E242" s="18">
        <f>12*I236*6.05</f>
        <v>555237.5399999999</v>
      </c>
    </row>
    <row r="243" spans="2:5" ht="12" customHeight="1">
      <c r="B243" s="80" t="s">
        <v>17</v>
      </c>
      <c r="C243" s="81"/>
      <c r="D243" s="81"/>
      <c r="E243" s="18">
        <f>1*L236*286.7*2</f>
        <v>36697.6</v>
      </c>
    </row>
    <row r="244" spans="2:5" ht="12" customHeight="1">
      <c r="B244" s="80" t="s">
        <v>15</v>
      </c>
      <c r="C244" s="81"/>
      <c r="D244" s="81"/>
      <c r="E244" s="18">
        <f>12*I236*0.54</f>
        <v>49558.392</v>
      </c>
    </row>
    <row r="245" spans="2:5" ht="12" customHeight="1">
      <c r="B245" s="104" t="s">
        <v>19</v>
      </c>
      <c r="C245" s="105"/>
      <c r="D245" s="105"/>
      <c r="E245" s="18">
        <v>20000</v>
      </c>
    </row>
    <row r="246" spans="2:5" ht="6" customHeight="1">
      <c r="B246" s="94" t="s">
        <v>18</v>
      </c>
      <c r="C246" s="95"/>
      <c r="D246" s="95"/>
      <c r="E246" s="111">
        <f>12*I236*1.18</f>
        <v>108294.26399999998</v>
      </c>
    </row>
    <row r="247" spans="2:5" ht="6" customHeight="1">
      <c r="B247" s="97"/>
      <c r="C247" s="98"/>
      <c r="D247" s="98"/>
      <c r="E247" s="111"/>
    </row>
    <row r="248" spans="2:5" ht="6" customHeight="1">
      <c r="B248" s="94" t="s">
        <v>35</v>
      </c>
      <c r="C248" s="95"/>
      <c r="D248" s="95"/>
      <c r="E248" s="111">
        <f>12*I236*2.25</f>
        <v>206493.3</v>
      </c>
    </row>
    <row r="249" spans="2:5" ht="6" customHeight="1">
      <c r="B249" s="97"/>
      <c r="C249" s="98"/>
      <c r="D249" s="98"/>
      <c r="E249" s="111"/>
    </row>
    <row r="250" spans="2:5" ht="12" customHeight="1">
      <c r="B250" s="89" t="s">
        <v>46</v>
      </c>
      <c r="C250" s="90"/>
      <c r="D250" s="90"/>
      <c r="E250" s="18">
        <f>2100</f>
        <v>2100</v>
      </c>
    </row>
    <row r="251" spans="2:5" ht="12" customHeight="1">
      <c r="B251" s="89" t="s">
        <v>41</v>
      </c>
      <c r="C251" s="90"/>
      <c r="D251" s="90"/>
      <c r="E251" s="18">
        <f>12*I236*0.37</f>
        <v>33956.67599999999</v>
      </c>
    </row>
    <row r="252" spans="2:5" ht="12" customHeight="1">
      <c r="B252" s="89" t="s">
        <v>42</v>
      </c>
      <c r="C252" s="90"/>
      <c r="D252" s="90"/>
      <c r="E252" s="18">
        <f>H236*2*85%*2*137.35*0.38</f>
        <v>25376.236599999997</v>
      </c>
    </row>
    <row r="253" spans="2:5" ht="12" customHeight="1">
      <c r="B253" s="89" t="s">
        <v>43</v>
      </c>
      <c r="C253" s="90"/>
      <c r="D253" s="90"/>
      <c r="E253" s="18">
        <f>H236*85%*2*137.35*0.38</f>
        <v>12688.118299999998</v>
      </c>
    </row>
    <row r="254" spans="2:5" ht="12" customHeight="1">
      <c r="B254" s="89" t="s">
        <v>38</v>
      </c>
      <c r="C254" s="90"/>
      <c r="D254" s="90"/>
      <c r="E254" s="18">
        <v>4000</v>
      </c>
    </row>
    <row r="255" spans="2:5" ht="12" customHeight="1">
      <c r="B255" s="74" t="s">
        <v>44</v>
      </c>
      <c r="C255" s="75"/>
      <c r="D255" s="75"/>
      <c r="E255" s="6">
        <f>68.68*15*2</f>
        <v>2060.4</v>
      </c>
    </row>
    <row r="256" spans="2:5" ht="12" customHeight="1">
      <c r="B256" s="74" t="s">
        <v>4</v>
      </c>
      <c r="C256" s="75"/>
      <c r="D256" s="75"/>
      <c r="E256" s="6">
        <f>68.68*21*2</f>
        <v>2884.5600000000004</v>
      </c>
    </row>
    <row r="257" spans="2:5" ht="12" customHeight="1">
      <c r="B257" s="74" t="s">
        <v>45</v>
      </c>
      <c r="C257" s="75"/>
      <c r="D257" s="75"/>
      <c r="E257" s="6">
        <f>68.68*20*2</f>
        <v>2747.2000000000003</v>
      </c>
    </row>
    <row r="258" spans="2:5" s="64" customFormat="1" ht="12" customHeight="1">
      <c r="B258" s="67" t="s">
        <v>92</v>
      </c>
      <c r="C258" s="67"/>
      <c r="D258" s="67"/>
      <c r="E258" s="11">
        <f>112.6*3</f>
        <v>337.79999999999995</v>
      </c>
    </row>
    <row r="259" spans="2:5" s="64" customFormat="1" ht="12" customHeight="1">
      <c r="B259" s="67" t="s">
        <v>174</v>
      </c>
      <c r="C259" s="67"/>
      <c r="D259" s="67"/>
      <c r="E259" s="14">
        <f>4*'[1]на июль 15г'!$J$238</f>
        <v>20416.4081854121</v>
      </c>
    </row>
    <row r="260" spans="2:5" s="64" customFormat="1" ht="12" customHeight="1">
      <c r="B260" s="67" t="s">
        <v>151</v>
      </c>
      <c r="C260" s="67"/>
      <c r="D260" s="67"/>
      <c r="E260" s="14">
        <f>'[2]на июль 15г'!$J$988*16</f>
        <v>12047.522855783152</v>
      </c>
    </row>
    <row r="261" spans="2:5" s="64" customFormat="1" ht="14.25" customHeight="1">
      <c r="B261" s="113" t="s">
        <v>69</v>
      </c>
      <c r="C261" s="113"/>
      <c r="D261" s="113"/>
      <c r="E261" s="14">
        <f>'[2]на июль 15г'!$J$974*4+1*'[2]на июль 15г'!$J$290+'[2]на июль 15г'!$J$940</f>
        <v>3844.720871602656</v>
      </c>
    </row>
    <row r="262" spans="2:5" s="64" customFormat="1" ht="15">
      <c r="B262" s="67" t="s">
        <v>138</v>
      </c>
      <c r="C262" s="67"/>
      <c r="D262" s="67"/>
      <c r="E262" s="14">
        <f>'[2]на июль 15г'!$J$333*9</f>
        <v>8601.085739539649</v>
      </c>
    </row>
    <row r="263" spans="2:5" s="64" customFormat="1" ht="12" customHeight="1">
      <c r="B263" s="67" t="s">
        <v>139</v>
      </c>
      <c r="C263" s="67"/>
      <c r="D263" s="67"/>
      <c r="E263" s="14">
        <f>2*'[1]на июль 15г'!$J$277</f>
        <v>1671.000241472425</v>
      </c>
    </row>
    <row r="264" spans="2:5" s="64" customFormat="1" ht="12" customHeight="1">
      <c r="B264" s="67" t="s">
        <v>128</v>
      </c>
      <c r="C264" s="67"/>
      <c r="D264" s="67"/>
      <c r="E264" s="14">
        <f>4*'[1]на июль 15г'!$J$277</f>
        <v>3342.00048294485</v>
      </c>
    </row>
    <row r="265" spans="2:5" s="64" customFormat="1" ht="12" customHeight="1">
      <c r="B265" s="67" t="s">
        <v>175</v>
      </c>
      <c r="C265" s="78"/>
      <c r="D265" s="78"/>
      <c r="E265" s="11">
        <f>9*214.6</f>
        <v>1931.3999999999999</v>
      </c>
    </row>
    <row r="266" spans="2:5" s="64" customFormat="1" ht="10.5" customHeight="1">
      <c r="B266" s="67" t="s">
        <v>89</v>
      </c>
      <c r="C266" s="67"/>
      <c r="D266" s="67"/>
      <c r="E266" s="12">
        <f>97*'[5]на июль 15г'!$J$1057</f>
        <v>11104.84913736366</v>
      </c>
    </row>
    <row r="267" spans="2:5" s="64" customFormat="1" ht="13.5" customHeight="1">
      <c r="B267" s="67" t="s">
        <v>154</v>
      </c>
      <c r="C267" s="67"/>
      <c r="D267" s="67"/>
      <c r="E267" s="12">
        <f>37*'[1]на июль 15г'!$J$198</f>
        <v>6086.797637158103</v>
      </c>
    </row>
    <row r="268" spans="2:5" s="64" customFormat="1" ht="12" customHeight="1">
      <c r="B268" s="67" t="s">
        <v>62</v>
      </c>
      <c r="C268" s="67"/>
      <c r="D268" s="67"/>
      <c r="E268" s="14">
        <f>25*'[1]на июль 15г'!$J$323</f>
        <v>2499.387370627618</v>
      </c>
    </row>
    <row r="269" spans="2:5" s="64" customFormat="1" ht="12" customHeight="1">
      <c r="B269" s="67" t="s">
        <v>131</v>
      </c>
      <c r="C269" s="67"/>
      <c r="D269" s="67"/>
      <c r="E269" s="12">
        <f>42*'[1]на июль 15г'!$J$211</f>
        <v>2419.6213242454196</v>
      </c>
    </row>
    <row r="270" spans="2:5" s="64" customFormat="1" ht="12" customHeight="1">
      <c r="B270" s="67" t="s">
        <v>8</v>
      </c>
      <c r="C270" s="67"/>
      <c r="D270" s="67"/>
      <c r="E270" s="12">
        <f>171*'[1]на июль 15г'!$J$211</f>
        <v>9851.315391570637</v>
      </c>
    </row>
    <row r="271" spans="2:5" s="64" customFormat="1" ht="12" customHeight="1">
      <c r="B271" s="67" t="s">
        <v>7</v>
      </c>
      <c r="C271" s="67"/>
      <c r="D271" s="67"/>
      <c r="E271" s="14">
        <f>4*'[1]на июль 15г'!$J$264</f>
        <v>283.5772870495433</v>
      </c>
    </row>
    <row r="272" spans="2:5" ht="15">
      <c r="B272" s="148" t="s">
        <v>82</v>
      </c>
      <c r="C272" s="148"/>
      <c r="D272" s="148"/>
      <c r="E272" s="16">
        <f>6*'[1]на июль 15г'!$J$535</f>
        <v>2380.3170234047416</v>
      </c>
    </row>
    <row r="273" spans="2:5" ht="23.25" customHeight="1">
      <c r="B273" s="148" t="s">
        <v>83</v>
      </c>
      <c r="C273" s="148"/>
      <c r="D273" s="148"/>
      <c r="E273" s="16">
        <f>6*'[1]на июль 15г'!$J$565</f>
        <v>3051.51008600783</v>
      </c>
    </row>
    <row r="274" spans="2:5" ht="12" customHeight="1">
      <c r="B274" s="67" t="s">
        <v>66</v>
      </c>
      <c r="C274" s="78"/>
      <c r="D274" s="78"/>
      <c r="E274" s="14">
        <f>1*('[1]на июль 15г'!$J$677+'[1]на июль 15г'!$J$688)</f>
        <v>1763.394268610918</v>
      </c>
    </row>
    <row r="275" spans="2:6" ht="12" customHeight="1">
      <c r="B275" s="67" t="s">
        <v>22</v>
      </c>
      <c r="C275" s="67"/>
      <c r="D275" s="67"/>
      <c r="E275" s="14">
        <f>4*'[1]на июль 15г'!$J$434</f>
        <v>2449.4556890571025</v>
      </c>
      <c r="F275" s="3"/>
    </row>
    <row r="276" spans="2:6" ht="12" customHeight="1">
      <c r="B276" s="67" t="s">
        <v>12</v>
      </c>
      <c r="C276" s="78"/>
      <c r="D276" s="78"/>
      <c r="E276" s="14">
        <f>4*'[1]на июль 15г'!$J$444</f>
        <v>2738.463285929996</v>
      </c>
      <c r="F276" s="3"/>
    </row>
    <row r="277" spans="2:5" s="24" customFormat="1" ht="15">
      <c r="B277" s="67" t="s">
        <v>11</v>
      </c>
      <c r="C277" s="67"/>
      <c r="D277" s="67"/>
      <c r="E277" s="11">
        <f>2201.44+550.57</f>
        <v>2752.01</v>
      </c>
    </row>
    <row r="278" spans="2:5" s="3" customFormat="1" ht="13.5" customHeight="1">
      <c r="B278" s="67" t="s">
        <v>2</v>
      </c>
      <c r="C278" s="78"/>
      <c r="D278" s="78"/>
      <c r="E278" s="14">
        <f>2*'[1]на июль 15г'!$J$915</f>
        <v>934.0431817955987</v>
      </c>
    </row>
    <row r="279" spans="2:5" ht="14.25" customHeight="1">
      <c r="B279" s="67" t="s">
        <v>150</v>
      </c>
      <c r="C279" s="67"/>
      <c r="D279" s="67"/>
      <c r="E279" s="12">
        <v>744</v>
      </c>
    </row>
    <row r="280" spans="2:5" ht="12" customHeight="1">
      <c r="B280" s="67" t="s">
        <v>21</v>
      </c>
      <c r="C280" s="78"/>
      <c r="D280" s="78"/>
      <c r="E280" s="11">
        <v>775.73</v>
      </c>
    </row>
    <row r="281" spans="2:5" ht="12.75" customHeight="1">
      <c r="B281" s="67" t="s">
        <v>76</v>
      </c>
      <c r="C281" s="67"/>
      <c r="D281" s="67"/>
      <c r="E281" s="23">
        <v>13480.92</v>
      </c>
    </row>
    <row r="282" spans="2:5" ht="12" customHeight="1">
      <c r="B282" s="67" t="s">
        <v>116</v>
      </c>
      <c r="C282" s="67"/>
      <c r="D282" s="67"/>
      <c r="E282" s="11">
        <f>16005.06</f>
        <v>16005.06</v>
      </c>
    </row>
    <row r="283" spans="2:5" ht="12" customHeight="1">
      <c r="B283" s="67" t="s">
        <v>74</v>
      </c>
      <c r="C283" s="67"/>
      <c r="D283" s="67"/>
      <c r="E283" s="11">
        <f>2300*2</f>
        <v>4600</v>
      </c>
    </row>
    <row r="284" spans="2:5" ht="12" customHeight="1">
      <c r="B284" s="67" t="s">
        <v>105</v>
      </c>
      <c r="C284" s="67"/>
      <c r="D284" s="67"/>
      <c r="E284" s="11">
        <f>2000*7</f>
        <v>14000</v>
      </c>
    </row>
    <row r="285" ht="15">
      <c r="E285" s="39">
        <f>SUM(E236:E284)</f>
        <v>1413261.2881255753</v>
      </c>
    </row>
    <row r="286" spans="3:5" ht="12" customHeight="1">
      <c r="C286" s="40" t="s">
        <v>72</v>
      </c>
      <c r="D286" s="112">
        <f>'[3]Лист1'!$B$45</f>
        <v>1535069.8300000003</v>
      </c>
      <c r="E286" s="122"/>
    </row>
    <row r="287" spans="3:8" ht="12" customHeight="1">
      <c r="C287" s="40" t="s">
        <v>9</v>
      </c>
      <c r="D287" s="102">
        <f>'[3]Лист1'!$C$45</f>
        <v>1504403.5300000003</v>
      </c>
      <c r="E287" s="103"/>
      <c r="H287" s="36"/>
    </row>
    <row r="288" spans="3:6" ht="12" customHeight="1">
      <c r="C288" s="40" t="s">
        <v>106</v>
      </c>
      <c r="D288" s="49"/>
      <c r="E288" s="50">
        <f>E285</f>
        <v>1413261.2881255753</v>
      </c>
      <c r="F288" s="36"/>
    </row>
    <row r="289" spans="3:5" ht="84.75" customHeight="1">
      <c r="C289" s="40"/>
      <c r="D289" s="45"/>
      <c r="E289" s="9"/>
    </row>
    <row r="290" spans="1:7" ht="24" customHeight="1">
      <c r="A290" s="109" t="s">
        <v>79</v>
      </c>
      <c r="B290" s="110"/>
      <c r="C290" s="110"/>
      <c r="D290" s="110"/>
      <c r="E290" s="110"/>
      <c r="F290" s="110"/>
      <c r="G290" s="110"/>
    </row>
    <row r="291" spans="2:5" ht="12" customHeight="1">
      <c r="B291" s="88" t="s">
        <v>0</v>
      </c>
      <c r="C291" s="88"/>
      <c r="D291" s="88"/>
      <c r="E291" s="7"/>
    </row>
    <row r="292" spans="2:12" ht="21" customHeight="1">
      <c r="B292" s="127" t="s">
        <v>1</v>
      </c>
      <c r="C292" s="122"/>
      <c r="D292" s="122"/>
      <c r="E292" s="43" t="s">
        <v>112</v>
      </c>
      <c r="H292" s="125" t="s">
        <v>108</v>
      </c>
      <c r="I292" s="125"/>
      <c r="J292" s="125"/>
      <c r="K292" s="125"/>
      <c r="L292" s="125"/>
    </row>
    <row r="293" spans="2:12" ht="15" customHeight="1" thickBot="1">
      <c r="B293" s="130" t="s">
        <v>54</v>
      </c>
      <c r="C293" s="75"/>
      <c r="D293" s="75"/>
      <c r="E293" s="75"/>
      <c r="H293" s="8" t="s">
        <v>26</v>
      </c>
      <c r="I293" s="8" t="s">
        <v>109</v>
      </c>
      <c r="J293" s="8" t="s">
        <v>47</v>
      </c>
      <c r="K293" s="8" t="s">
        <v>110</v>
      </c>
      <c r="L293" s="8" t="s">
        <v>111</v>
      </c>
    </row>
    <row r="294" spans="2:12" ht="23.25" customHeight="1" thickBot="1">
      <c r="B294" s="128" t="s">
        <v>40</v>
      </c>
      <c r="C294" s="129"/>
      <c r="D294" s="129"/>
      <c r="E294" s="4">
        <f>2.05*J294*12+J294*2*2.05+2.05*4*J294</f>
        <v>64645.11</v>
      </c>
      <c r="H294" s="1">
        <v>127</v>
      </c>
      <c r="I294" s="1">
        <v>5310.6</v>
      </c>
      <c r="J294" s="1">
        <v>1751.9</v>
      </c>
      <c r="K294" s="1">
        <f>J294</f>
        <v>1751.9</v>
      </c>
      <c r="L294" s="2">
        <v>104</v>
      </c>
    </row>
    <row r="295" spans="2:5" ht="36" customHeight="1">
      <c r="B295" s="80" t="s">
        <v>31</v>
      </c>
      <c r="C295" s="81"/>
      <c r="D295" s="81"/>
      <c r="E295" s="18">
        <f>(I294*2.05*2)</f>
        <v>21773.46</v>
      </c>
    </row>
    <row r="296" spans="2:5" ht="12" customHeight="1">
      <c r="B296" s="80" t="s">
        <v>32</v>
      </c>
      <c r="C296" s="81"/>
      <c r="D296" s="81"/>
      <c r="E296" s="18">
        <f>I294*2.05*2</f>
        <v>21773.46</v>
      </c>
    </row>
    <row r="297" spans="2:5" ht="12" customHeight="1" hidden="1">
      <c r="B297" s="80" t="s">
        <v>33</v>
      </c>
      <c r="C297" s="81"/>
      <c r="D297" s="81"/>
      <c r="E297" s="18"/>
    </row>
    <row r="298" spans="2:5" ht="24" customHeight="1">
      <c r="B298" s="80" t="s">
        <v>34</v>
      </c>
      <c r="C298" s="81"/>
      <c r="D298" s="81"/>
      <c r="E298" s="18">
        <f>(3*121.53*2*I294/1000)*3</f>
        <v>11617.149924000003</v>
      </c>
    </row>
    <row r="299" spans="2:5" ht="12" customHeight="1">
      <c r="B299" s="80" t="s">
        <v>14</v>
      </c>
      <c r="C299" s="81"/>
      <c r="D299" s="81"/>
      <c r="E299" s="18">
        <f>12*I294*0.83</f>
        <v>52893.576</v>
      </c>
    </row>
    <row r="300" spans="2:5" ht="12" customHeight="1">
      <c r="B300" s="76" t="s">
        <v>16</v>
      </c>
      <c r="C300" s="77"/>
      <c r="D300" s="77"/>
      <c r="E300" s="5">
        <f>12*I294*6.05</f>
        <v>385549.56</v>
      </c>
    </row>
    <row r="301" spans="2:5" ht="12" customHeight="1">
      <c r="B301" s="74" t="s">
        <v>17</v>
      </c>
      <c r="C301" s="74"/>
      <c r="D301" s="74"/>
      <c r="E301" s="18">
        <f>1*L294*286.7*2</f>
        <v>59633.6</v>
      </c>
    </row>
    <row r="302" spans="2:5" ht="12" customHeight="1">
      <c r="B302" s="74" t="s">
        <v>15</v>
      </c>
      <c r="C302" s="74"/>
      <c r="D302" s="74"/>
      <c r="E302" s="18">
        <f>12*I294*0.54</f>
        <v>34412.688</v>
      </c>
    </row>
    <row r="303" spans="2:5" ht="12" customHeight="1">
      <c r="B303" s="79" t="s">
        <v>19</v>
      </c>
      <c r="C303" s="79"/>
      <c r="D303" s="79"/>
      <c r="E303" s="18">
        <v>20000</v>
      </c>
    </row>
    <row r="304" spans="2:5" ht="6" customHeight="1">
      <c r="B304" s="74" t="s">
        <v>18</v>
      </c>
      <c r="C304" s="74"/>
      <c r="D304" s="74"/>
      <c r="E304" s="111">
        <f>12*I294*0.74</f>
        <v>47158.128000000004</v>
      </c>
    </row>
    <row r="305" spans="2:5" ht="6" customHeight="1">
      <c r="B305" s="74"/>
      <c r="C305" s="74"/>
      <c r="D305" s="74"/>
      <c r="E305" s="111"/>
    </row>
    <row r="306" spans="2:5" ht="6" customHeight="1">
      <c r="B306" s="74" t="s">
        <v>35</v>
      </c>
      <c r="C306" s="74"/>
      <c r="D306" s="74"/>
      <c r="E306" s="111">
        <f>12*I294*4.2</f>
        <v>267654.24000000005</v>
      </c>
    </row>
    <row r="307" spans="2:5" ht="6" customHeight="1">
      <c r="B307" s="74"/>
      <c r="C307" s="74"/>
      <c r="D307" s="74"/>
      <c r="E307" s="111"/>
    </row>
    <row r="308" spans="2:5" ht="12" customHeight="1">
      <c r="B308" s="74" t="s">
        <v>41</v>
      </c>
      <c r="C308" s="74"/>
      <c r="D308" s="74"/>
      <c r="E308" s="18">
        <f>12*I294*0.37</f>
        <v>23579.064000000002</v>
      </c>
    </row>
    <row r="309" spans="2:5" ht="12" customHeight="1">
      <c r="B309" s="74" t="s">
        <v>42</v>
      </c>
      <c r="C309" s="74"/>
      <c r="D309" s="74"/>
      <c r="E309" s="18">
        <f>H294*2*75%*2*137.35*0.38</f>
        <v>19885.533</v>
      </c>
    </row>
    <row r="310" spans="2:5" ht="12" customHeight="1">
      <c r="B310" s="74" t="s">
        <v>43</v>
      </c>
      <c r="C310" s="74"/>
      <c r="D310" s="74"/>
      <c r="E310" s="18">
        <f>H294*75%*2*137.35*0.38</f>
        <v>9942.7665</v>
      </c>
    </row>
    <row r="311" spans="2:5" ht="12" customHeight="1">
      <c r="B311" s="74" t="s">
        <v>3</v>
      </c>
      <c r="C311" s="75"/>
      <c r="D311" s="75"/>
      <c r="E311" s="6">
        <f>68.68*14</f>
        <v>961.5200000000001</v>
      </c>
    </row>
    <row r="312" spans="2:5" ht="12" customHeight="1">
      <c r="B312" s="74" t="s">
        <v>4</v>
      </c>
      <c r="C312" s="75"/>
      <c r="D312" s="75"/>
      <c r="E312" s="6">
        <f>68.68*23</f>
        <v>1579.64</v>
      </c>
    </row>
    <row r="313" spans="2:5" ht="14.25" customHeight="1">
      <c r="B313" s="74" t="s">
        <v>5</v>
      </c>
      <c r="C313" s="75"/>
      <c r="D313" s="75"/>
      <c r="E313" s="6">
        <f>68.68*19</f>
        <v>1304.92</v>
      </c>
    </row>
    <row r="314" spans="2:5" ht="13.5" customHeight="1">
      <c r="B314" s="67" t="s">
        <v>153</v>
      </c>
      <c r="C314" s="67"/>
      <c r="D314" s="67"/>
      <c r="E314" s="14">
        <f>50.89*2</f>
        <v>101.78</v>
      </c>
    </row>
    <row r="315" spans="2:5" s="64" customFormat="1" ht="15">
      <c r="B315" s="67" t="s">
        <v>87</v>
      </c>
      <c r="C315" s="67"/>
      <c r="D315" s="67"/>
      <c r="E315" s="14">
        <f>5*'[1]на июль 15г'!$J$238</f>
        <v>25520.510231765125</v>
      </c>
    </row>
    <row r="316" spans="2:5" s="64" customFormat="1" ht="12" customHeight="1">
      <c r="B316" s="67" t="s">
        <v>173</v>
      </c>
      <c r="C316" s="78"/>
      <c r="D316" s="78"/>
      <c r="E316" s="14">
        <f>3*'[1]на июль 15г'!$J$333</f>
        <v>2867.0285798465493</v>
      </c>
    </row>
    <row r="317" spans="2:5" s="64" customFormat="1" ht="12" customHeight="1">
      <c r="B317" s="67" t="s">
        <v>128</v>
      </c>
      <c r="C317" s="67"/>
      <c r="D317" s="67"/>
      <c r="E317" s="14">
        <f>6*'[1]на июль 15г'!$J$277</f>
        <v>5013.000724417275</v>
      </c>
    </row>
    <row r="318" spans="2:5" s="64" customFormat="1" ht="12" customHeight="1">
      <c r="B318" s="67" t="s">
        <v>139</v>
      </c>
      <c r="C318" s="67"/>
      <c r="D318" s="67"/>
      <c r="E318" s="14">
        <f>4*'[1]на июль 15г'!$J$277</f>
        <v>3342.00048294485</v>
      </c>
    </row>
    <row r="319" spans="2:5" s="64" customFormat="1" ht="14.25" customHeight="1">
      <c r="B319" s="67" t="s">
        <v>154</v>
      </c>
      <c r="C319" s="67"/>
      <c r="D319" s="67"/>
      <c r="E319" s="12">
        <f>65*'[1]на июль 15г'!$J$198</f>
        <v>10693.022876088558</v>
      </c>
    </row>
    <row r="320" spans="2:5" s="64" customFormat="1" ht="12" customHeight="1">
      <c r="B320" s="67" t="s">
        <v>8</v>
      </c>
      <c r="C320" s="67"/>
      <c r="D320" s="67"/>
      <c r="E320" s="12">
        <f>123*'[1]на июль 15г'!$J$211</f>
        <v>7086.033878147301</v>
      </c>
    </row>
    <row r="321" spans="2:5" s="64" customFormat="1" ht="12" customHeight="1">
      <c r="B321" s="67" t="s">
        <v>125</v>
      </c>
      <c r="C321" s="67"/>
      <c r="D321" s="67"/>
      <c r="E321" s="12">
        <f>27*'[1]на июль 15г'!$J$211</f>
        <v>1555.470851300627</v>
      </c>
    </row>
    <row r="322" spans="2:5" s="64" customFormat="1" ht="12" customHeight="1">
      <c r="B322" s="67" t="s">
        <v>62</v>
      </c>
      <c r="C322" s="67"/>
      <c r="D322" s="67"/>
      <c r="E322" s="14">
        <f>13*'[1]на июль 15г'!$J$323</f>
        <v>1299.6814327263614</v>
      </c>
    </row>
    <row r="323" spans="2:5" s="64" customFormat="1" ht="15" customHeight="1">
      <c r="B323" s="67" t="s">
        <v>89</v>
      </c>
      <c r="C323" s="67"/>
      <c r="D323" s="67"/>
      <c r="E323" s="12">
        <f>72*'[5]на июль 15г'!$J$1057</f>
        <v>8242.774617424573</v>
      </c>
    </row>
    <row r="324" spans="2:5" s="64" customFormat="1" ht="12" customHeight="1">
      <c r="B324" s="67" t="s">
        <v>69</v>
      </c>
      <c r="C324" s="67"/>
      <c r="D324" s="67"/>
      <c r="E324" s="14">
        <f>2*'[1]на июль 15г'!$J$290+1*'[1]на июль 15г'!$J$974</f>
        <v>1890.2686270049826</v>
      </c>
    </row>
    <row r="325" spans="2:5" s="64" customFormat="1" ht="12" customHeight="1">
      <c r="B325" s="67" t="s">
        <v>12</v>
      </c>
      <c r="C325" s="67"/>
      <c r="D325" s="67"/>
      <c r="E325" s="14">
        <f>6*'[1]на июль 15г'!$J$444</f>
        <v>4107.694928894994</v>
      </c>
    </row>
    <row r="326" spans="2:5" ht="12" customHeight="1">
      <c r="B326" s="67" t="s">
        <v>6</v>
      </c>
      <c r="C326" s="67"/>
      <c r="D326" s="67"/>
      <c r="E326" s="14">
        <f>4*'[1]на июль 15г'!$J$454</f>
        <v>3455.707551556474</v>
      </c>
    </row>
    <row r="327" spans="2:5" s="3" customFormat="1" ht="12" customHeight="1">
      <c r="B327" s="67" t="s">
        <v>24</v>
      </c>
      <c r="C327" s="78"/>
      <c r="D327" s="78"/>
      <c r="E327" s="14">
        <f>1*('[1]на июль 15г'!$J$699+'[1]на июль 15г'!$J$677)</f>
        <v>2178.85288138524</v>
      </c>
    </row>
    <row r="328" spans="2:5" s="3" customFormat="1" ht="12" customHeight="1">
      <c r="B328" s="67" t="s">
        <v>66</v>
      </c>
      <c r="C328" s="78"/>
      <c r="D328" s="78"/>
      <c r="E328" s="14">
        <f>4*('[1]на июль 15г'!$J$688+'[1]на июль 15г'!$J$677)</f>
        <v>7053.577074443672</v>
      </c>
    </row>
    <row r="329" spans="2:5" ht="12" customHeight="1">
      <c r="B329" s="67" t="s">
        <v>114</v>
      </c>
      <c r="C329" s="67"/>
      <c r="D329" s="67"/>
      <c r="E329" s="14">
        <f>1800*1</f>
        <v>1800</v>
      </c>
    </row>
    <row r="330" spans="2:5" s="3" customFormat="1" ht="12" customHeight="1">
      <c r="B330" s="67" t="s">
        <v>2</v>
      </c>
      <c r="C330" s="78"/>
      <c r="D330" s="78"/>
      <c r="E330" s="14">
        <f>3*'[1]на июль 15г'!$J$915</f>
        <v>1401.064772693398</v>
      </c>
    </row>
    <row r="331" spans="2:5" s="24" customFormat="1" ht="15">
      <c r="B331" s="67" t="s">
        <v>11</v>
      </c>
      <c r="C331" s="67"/>
      <c r="D331" s="67"/>
      <c r="E331" s="11">
        <f>2201.44+550.57+20000+2000+4000</f>
        <v>28752.010000000002</v>
      </c>
    </row>
    <row r="332" spans="2:5" ht="14.25" customHeight="1">
      <c r="B332" s="67" t="s">
        <v>150</v>
      </c>
      <c r="C332" s="67"/>
      <c r="D332" s="67"/>
      <c r="E332" s="12">
        <v>744</v>
      </c>
    </row>
    <row r="333" spans="2:5" s="3" customFormat="1" ht="12" customHeight="1">
      <c r="B333" s="67" t="s">
        <v>132</v>
      </c>
      <c r="C333" s="67"/>
      <c r="D333" s="67"/>
      <c r="E333" s="11">
        <v>135501.26</v>
      </c>
    </row>
    <row r="334" spans="2:5" ht="12" customHeight="1">
      <c r="B334" s="67" t="s">
        <v>124</v>
      </c>
      <c r="C334" s="78"/>
      <c r="D334" s="78"/>
      <c r="E334" s="11">
        <v>2545</v>
      </c>
    </row>
    <row r="335" spans="2:5" ht="12" customHeight="1">
      <c r="B335" s="67" t="s">
        <v>115</v>
      </c>
      <c r="C335" s="78"/>
      <c r="D335" s="78"/>
      <c r="E335" s="11">
        <f>50*819</f>
        <v>40950</v>
      </c>
    </row>
    <row r="336" ht="15">
      <c r="E336" s="39">
        <f>SUM(E294:E335)</f>
        <v>1340465.1549346398</v>
      </c>
    </row>
    <row r="337" spans="3:5" ht="12" customHeight="1">
      <c r="C337" s="40" t="s">
        <v>72</v>
      </c>
      <c r="D337" s="112">
        <f>'[3]Лист1'!$B$46+287711+12383.4</f>
        <v>1329385.9100000001</v>
      </c>
      <c r="E337" s="122"/>
    </row>
    <row r="338" spans="3:5" ht="12" customHeight="1">
      <c r="C338" s="40" t="s">
        <v>9</v>
      </c>
      <c r="D338" s="102">
        <f>'[3]Лист1'!$C$46+266222.44+12327.96</f>
        <v>1291119.33</v>
      </c>
      <c r="E338" s="103"/>
    </row>
    <row r="339" spans="3:5" ht="12" customHeight="1">
      <c r="C339" s="40" t="s">
        <v>106</v>
      </c>
      <c r="D339" s="49"/>
      <c r="E339" s="50">
        <f>E336</f>
        <v>1340465.1549346398</v>
      </c>
    </row>
    <row r="340" spans="3:5" ht="160.5" customHeight="1">
      <c r="C340" s="40"/>
      <c r="D340" s="45"/>
      <c r="E340" s="9"/>
    </row>
    <row r="341" spans="1:7" ht="24" customHeight="1">
      <c r="A341" s="109" t="s">
        <v>79</v>
      </c>
      <c r="B341" s="110"/>
      <c r="C341" s="110"/>
      <c r="D341" s="110"/>
      <c r="E341" s="110"/>
      <c r="F341" s="110"/>
      <c r="G341" s="110"/>
    </row>
    <row r="342" spans="2:5" ht="12" customHeight="1">
      <c r="B342" s="88" t="s">
        <v>0</v>
      </c>
      <c r="C342" s="88"/>
      <c r="D342" s="88"/>
      <c r="E342" s="7"/>
    </row>
    <row r="343" spans="2:12" ht="21" customHeight="1">
      <c r="B343" s="83" t="s">
        <v>1</v>
      </c>
      <c r="C343" s="120"/>
      <c r="D343" s="120"/>
      <c r="E343" s="43" t="s">
        <v>112</v>
      </c>
      <c r="H343" s="125" t="s">
        <v>108</v>
      </c>
      <c r="I343" s="125"/>
      <c r="J343" s="125"/>
      <c r="K343" s="125"/>
      <c r="L343" s="125"/>
    </row>
    <row r="344" spans="2:12" ht="15" customHeight="1" thickBot="1">
      <c r="B344" s="121" t="s">
        <v>55</v>
      </c>
      <c r="C344" s="120"/>
      <c r="D344" s="120"/>
      <c r="E344" s="120"/>
      <c r="H344" s="8" t="s">
        <v>26</v>
      </c>
      <c r="I344" s="8" t="s">
        <v>109</v>
      </c>
      <c r="J344" s="8" t="s">
        <v>47</v>
      </c>
      <c r="K344" s="8" t="s">
        <v>110</v>
      </c>
      <c r="L344" s="8" t="s">
        <v>111</v>
      </c>
    </row>
    <row r="345" spans="2:12" ht="23.25" customHeight="1" thickBot="1">
      <c r="B345" s="80" t="s">
        <v>40</v>
      </c>
      <c r="C345" s="81"/>
      <c r="D345" s="81"/>
      <c r="E345" s="18">
        <f>2.05*J345*12+J345*2*2.05+2.05*4*J345</f>
        <v>53733.78</v>
      </c>
      <c r="H345" s="1">
        <v>119</v>
      </c>
      <c r="I345" s="1">
        <v>5761.7</v>
      </c>
      <c r="J345" s="1">
        <v>1456.2</v>
      </c>
      <c r="K345" s="1">
        <f>J345</f>
        <v>1456.2</v>
      </c>
      <c r="L345" s="2">
        <v>88</v>
      </c>
    </row>
    <row r="346" spans="2:5" ht="36" customHeight="1">
      <c r="B346" s="80" t="s">
        <v>31</v>
      </c>
      <c r="C346" s="81"/>
      <c r="D346" s="81"/>
      <c r="E346" s="18">
        <f>(I345*2.05*2)</f>
        <v>23622.969999999998</v>
      </c>
    </row>
    <row r="347" spans="2:5" ht="12" customHeight="1">
      <c r="B347" s="80" t="s">
        <v>32</v>
      </c>
      <c r="C347" s="81"/>
      <c r="D347" s="81"/>
      <c r="E347" s="18">
        <f>I345*2.05*2</f>
        <v>23622.969999999998</v>
      </c>
    </row>
    <row r="348" spans="2:5" ht="12" customHeight="1" hidden="1">
      <c r="B348" s="80" t="s">
        <v>33</v>
      </c>
      <c r="C348" s="81"/>
      <c r="D348" s="81"/>
      <c r="E348" s="18"/>
    </row>
    <row r="349" spans="2:5" ht="24.75" customHeight="1">
      <c r="B349" s="80" t="s">
        <v>34</v>
      </c>
      <c r="C349" s="81"/>
      <c r="D349" s="81"/>
      <c r="E349" s="18">
        <f>(3*121.53*2*I345/1000)*3</f>
        <v>12603.949218000002</v>
      </c>
    </row>
    <row r="350" spans="2:5" ht="12" customHeight="1">
      <c r="B350" s="80" t="s">
        <v>14</v>
      </c>
      <c r="C350" s="81"/>
      <c r="D350" s="81"/>
      <c r="E350" s="18">
        <f>12*I345*0.83</f>
        <v>57386.53199999999</v>
      </c>
    </row>
    <row r="351" spans="2:5" ht="12" customHeight="1">
      <c r="B351" s="80" t="s">
        <v>16</v>
      </c>
      <c r="C351" s="81"/>
      <c r="D351" s="81"/>
      <c r="E351" s="18">
        <f>12*I345*6.05</f>
        <v>418299.4199999999</v>
      </c>
    </row>
    <row r="352" spans="2:5" ht="12" customHeight="1">
      <c r="B352" s="80" t="s">
        <v>17</v>
      </c>
      <c r="C352" s="81"/>
      <c r="D352" s="81"/>
      <c r="E352" s="18">
        <f>1*L345*286.7*2</f>
        <v>50459.2</v>
      </c>
    </row>
    <row r="353" spans="2:5" ht="12" customHeight="1">
      <c r="B353" s="80" t="s">
        <v>15</v>
      </c>
      <c r="C353" s="81"/>
      <c r="D353" s="81"/>
      <c r="E353" s="18">
        <f>12*I345*0.54</f>
        <v>37335.816</v>
      </c>
    </row>
    <row r="354" spans="2:5" ht="12" customHeight="1">
      <c r="B354" s="104" t="s">
        <v>19</v>
      </c>
      <c r="C354" s="105"/>
      <c r="D354" s="105"/>
      <c r="E354" s="18">
        <v>10000</v>
      </c>
    </row>
    <row r="355" spans="2:5" ht="6" customHeight="1">
      <c r="B355" s="94" t="s">
        <v>18</v>
      </c>
      <c r="C355" s="95"/>
      <c r="D355" s="95"/>
      <c r="E355" s="111">
        <f>12*I345*0.72</f>
        <v>49781.087999999996</v>
      </c>
    </row>
    <row r="356" spans="2:5" ht="6" customHeight="1">
      <c r="B356" s="97"/>
      <c r="C356" s="98"/>
      <c r="D356" s="98"/>
      <c r="E356" s="111"/>
    </row>
    <row r="357" spans="2:5" ht="6" customHeight="1">
      <c r="B357" s="74" t="s">
        <v>35</v>
      </c>
      <c r="C357" s="74"/>
      <c r="D357" s="74"/>
      <c r="E357" s="111">
        <f>12*I345*1.58</f>
        <v>109241.832</v>
      </c>
    </row>
    <row r="358" spans="2:5" ht="6" customHeight="1">
      <c r="B358" s="74"/>
      <c r="C358" s="74"/>
      <c r="D358" s="74"/>
      <c r="E358" s="111"/>
    </row>
    <row r="359" spans="2:5" ht="12" customHeight="1">
      <c r="B359" s="74" t="s">
        <v>41</v>
      </c>
      <c r="C359" s="74"/>
      <c r="D359" s="74"/>
      <c r="E359" s="18">
        <f>I345*0.37*12</f>
        <v>25581.947999999997</v>
      </c>
    </row>
    <row r="360" spans="2:5" ht="12" customHeight="1">
      <c r="B360" s="74" t="s">
        <v>42</v>
      </c>
      <c r="C360" s="74"/>
      <c r="D360" s="74"/>
      <c r="E360" s="18">
        <f>H345*2*70%*2*137.35*0.38</f>
        <v>17390.707599999998</v>
      </c>
    </row>
    <row r="361" spans="2:5" ht="12" customHeight="1">
      <c r="B361" s="74" t="s">
        <v>43</v>
      </c>
      <c r="C361" s="74"/>
      <c r="D361" s="74"/>
      <c r="E361" s="18">
        <f>H345*70%*2*137.35*0.38</f>
        <v>8695.353799999999</v>
      </c>
    </row>
    <row r="362" spans="2:5" ht="12" customHeight="1">
      <c r="B362" s="74" t="s">
        <v>44</v>
      </c>
      <c r="C362" s="75"/>
      <c r="D362" s="75"/>
      <c r="E362" s="6">
        <f>68.68*40</f>
        <v>2747.2000000000003</v>
      </c>
    </row>
    <row r="363" spans="2:5" ht="12" customHeight="1">
      <c r="B363" s="74" t="s">
        <v>4</v>
      </c>
      <c r="C363" s="75"/>
      <c r="D363" s="75"/>
      <c r="E363" s="6">
        <f>68.68*55</f>
        <v>3777.4000000000005</v>
      </c>
    </row>
    <row r="364" spans="2:5" ht="12" customHeight="1">
      <c r="B364" s="74" t="s">
        <v>45</v>
      </c>
      <c r="C364" s="75"/>
      <c r="D364" s="75"/>
      <c r="E364" s="6">
        <f>68.68*20</f>
        <v>1373.6000000000001</v>
      </c>
    </row>
    <row r="365" spans="2:5" s="59" customFormat="1" ht="12" customHeight="1">
      <c r="B365" s="68" t="s">
        <v>166</v>
      </c>
      <c r="C365" s="69"/>
      <c r="D365" s="69"/>
      <c r="E365" s="25">
        <f>223.42*23</f>
        <v>5138.66</v>
      </c>
    </row>
    <row r="366" spans="2:5" s="64" customFormat="1" ht="12" customHeight="1">
      <c r="B366" s="67" t="s">
        <v>92</v>
      </c>
      <c r="C366" s="67"/>
      <c r="D366" s="67"/>
      <c r="E366" s="11">
        <f>112.6*1</f>
        <v>112.6</v>
      </c>
    </row>
    <row r="367" spans="2:5" s="64" customFormat="1" ht="12.75" customHeight="1">
      <c r="B367" s="113" t="s">
        <v>69</v>
      </c>
      <c r="C367" s="113"/>
      <c r="D367" s="113"/>
      <c r="E367" s="14">
        <f>'[2]на июль 15г'!$J$974*1+'[2]на июль 15г'!$J$290*1+1*'[2]на июль 15г'!$J$940</f>
        <v>1828.2105790049825</v>
      </c>
    </row>
    <row r="368" spans="2:5" s="64" customFormat="1" ht="15">
      <c r="B368" s="67" t="s">
        <v>153</v>
      </c>
      <c r="C368" s="67"/>
      <c r="D368" s="67"/>
      <c r="E368" s="14">
        <f>50.89*10</f>
        <v>508.9</v>
      </c>
    </row>
    <row r="369" spans="2:5" s="64" customFormat="1" ht="12" customHeight="1">
      <c r="B369" s="70" t="s">
        <v>70</v>
      </c>
      <c r="C369" s="71"/>
      <c r="D369" s="71"/>
      <c r="E369" s="14">
        <f>1*'[2]на июль 15г'!$J$333</f>
        <v>955.6761932821831</v>
      </c>
    </row>
    <row r="370" spans="2:5" s="64" customFormat="1" ht="12" customHeight="1">
      <c r="B370" s="70" t="s">
        <v>173</v>
      </c>
      <c r="C370" s="71"/>
      <c r="D370" s="71"/>
      <c r="E370" s="14">
        <f>6*'[2]на июль 15г'!$J$1015</f>
        <v>5078.3311504876165</v>
      </c>
    </row>
    <row r="371" spans="2:5" s="64" customFormat="1" ht="15" customHeight="1">
      <c r="B371" s="67" t="s">
        <v>89</v>
      </c>
      <c r="C371" s="67"/>
      <c r="D371" s="67"/>
      <c r="E371" s="12">
        <f>11*'[5]на июль 15г'!$J$1057</f>
        <v>1259.3127887731987</v>
      </c>
    </row>
    <row r="372" spans="2:5" s="64" customFormat="1" ht="12" customHeight="1">
      <c r="B372" s="100" t="s">
        <v>139</v>
      </c>
      <c r="C372" s="73"/>
      <c r="D372" s="73"/>
      <c r="E372" s="14">
        <f>1*'[1]на июль 15г'!$J$277</f>
        <v>835.5001207362125</v>
      </c>
    </row>
    <row r="373" spans="2:5" s="64" customFormat="1" ht="12" customHeight="1">
      <c r="B373" s="100" t="s">
        <v>90</v>
      </c>
      <c r="C373" s="73"/>
      <c r="D373" s="73"/>
      <c r="E373" s="14">
        <f>2*'[2]на июль 15г'!$J$224</f>
        <v>3102.4548754457614</v>
      </c>
    </row>
    <row r="374" spans="2:5" s="64" customFormat="1" ht="12.75" customHeight="1">
      <c r="B374" s="72" t="s">
        <v>154</v>
      </c>
      <c r="C374" s="73"/>
      <c r="D374" s="73"/>
      <c r="E374" s="12">
        <f>28*'[1]на июль 15г'!$J$198</f>
        <v>4606.225238930456</v>
      </c>
    </row>
    <row r="375" spans="2:5" s="64" customFormat="1" ht="12" customHeight="1">
      <c r="B375" s="100" t="s">
        <v>62</v>
      </c>
      <c r="C375" s="73"/>
      <c r="D375" s="73"/>
      <c r="E375" s="14">
        <f>4*'[1]на июль 15г'!$J$323</f>
        <v>399.9019793004189</v>
      </c>
    </row>
    <row r="376" spans="2:5" s="64" customFormat="1" ht="12" customHeight="1">
      <c r="B376" s="67" t="s">
        <v>174</v>
      </c>
      <c r="C376" s="67"/>
      <c r="D376" s="67"/>
      <c r="E376" s="14">
        <f>1*'[1]на июль 15г'!$J$238</f>
        <v>5104.102046353025</v>
      </c>
    </row>
    <row r="377" spans="2:5" s="64" customFormat="1" ht="13.5" customHeight="1">
      <c r="B377" s="100" t="s">
        <v>8</v>
      </c>
      <c r="C377" s="73"/>
      <c r="D377" s="73"/>
      <c r="E377" s="12">
        <f>53*'[1]на июль 15г'!$J$211</f>
        <v>3053.3316710716012</v>
      </c>
    </row>
    <row r="378" spans="2:5" s="64" customFormat="1" ht="13.5" customHeight="1">
      <c r="B378" s="100" t="s">
        <v>125</v>
      </c>
      <c r="C378" s="73"/>
      <c r="D378" s="73"/>
      <c r="E378" s="12">
        <f>32*'[1]на июль 15г'!$J$211</f>
        <v>1843.5210089488912</v>
      </c>
    </row>
    <row r="379" spans="2:5" s="64" customFormat="1" ht="12" customHeight="1">
      <c r="B379" s="92" t="s">
        <v>7</v>
      </c>
      <c r="C379" s="93"/>
      <c r="D379" s="93"/>
      <c r="E379" s="14">
        <f>4*'[1]на июль 15г'!$J$264</f>
        <v>283.5772870495433</v>
      </c>
    </row>
    <row r="380" spans="2:5" ht="24" customHeight="1">
      <c r="B380" s="67" t="s">
        <v>83</v>
      </c>
      <c r="C380" s="67"/>
      <c r="D380" s="67"/>
      <c r="E380" s="14">
        <f>8.5*'[1]на июль 15г'!$J$565</f>
        <v>4322.972621844426</v>
      </c>
    </row>
    <row r="381" spans="2:5" ht="12" customHeight="1">
      <c r="B381" s="149" t="s">
        <v>82</v>
      </c>
      <c r="C381" s="69"/>
      <c r="D381" s="69"/>
      <c r="E381" s="14">
        <f>8.5*'[1]на июль 15г'!$J$535</f>
        <v>3372.115783156717</v>
      </c>
    </row>
    <row r="382" spans="2:5" ht="12" customHeight="1">
      <c r="B382" s="72" t="s">
        <v>2</v>
      </c>
      <c r="C382" s="126"/>
      <c r="D382" s="126"/>
      <c r="E382" s="14">
        <f>2*'[1]на июль 15г'!$J$915</f>
        <v>934.0431817955987</v>
      </c>
    </row>
    <row r="383" spans="2:5" ht="12" customHeight="1">
      <c r="B383" s="72" t="s">
        <v>12</v>
      </c>
      <c r="C383" s="73"/>
      <c r="D383" s="101"/>
      <c r="E383" s="15">
        <f>2*'[1]на июль 15г'!$J$444</f>
        <v>1369.231642964998</v>
      </c>
    </row>
    <row r="384" spans="2:5" ht="12" customHeight="1">
      <c r="B384" s="72" t="s">
        <v>6</v>
      </c>
      <c r="C384" s="73"/>
      <c r="D384" s="73"/>
      <c r="E384" s="14">
        <f>8*'[1]на июль 15г'!$J$454</f>
        <v>6911.415103112948</v>
      </c>
    </row>
    <row r="385" spans="2:5" s="24" customFormat="1" ht="15">
      <c r="B385" s="67" t="s">
        <v>11</v>
      </c>
      <c r="C385" s="67"/>
      <c r="D385" s="67"/>
      <c r="E385" s="11">
        <f>2201.44+550.57</f>
        <v>2752.01</v>
      </c>
    </row>
    <row r="386" spans="2:5" ht="14.25" customHeight="1">
      <c r="B386" s="67" t="s">
        <v>140</v>
      </c>
      <c r="C386" s="67"/>
      <c r="D386" s="70"/>
      <c r="E386" s="11">
        <v>6240.24</v>
      </c>
    </row>
    <row r="387" spans="2:5" ht="14.25" customHeight="1">
      <c r="B387" s="67" t="s">
        <v>123</v>
      </c>
      <c r="C387" s="67"/>
      <c r="D387" s="70"/>
      <c r="E387" s="12">
        <v>34319</v>
      </c>
    </row>
    <row r="388" spans="2:5" ht="12" customHeight="1">
      <c r="B388" s="70" t="s">
        <v>96</v>
      </c>
      <c r="C388" s="71"/>
      <c r="D388" s="71"/>
      <c r="E388" s="11">
        <f>1491.71+1425.68+6456.52+8714.5</f>
        <v>18088.41</v>
      </c>
    </row>
    <row r="389" spans="2:5" ht="14.25" customHeight="1">
      <c r="B389" s="67" t="s">
        <v>102</v>
      </c>
      <c r="C389" s="67"/>
      <c r="D389" s="67"/>
      <c r="E389" s="11">
        <v>1461.75</v>
      </c>
    </row>
    <row r="390" spans="2:5" ht="14.25" customHeight="1">
      <c r="B390" s="67" t="s">
        <v>150</v>
      </c>
      <c r="C390" s="67"/>
      <c r="D390" s="67"/>
      <c r="E390" s="12">
        <v>744</v>
      </c>
    </row>
    <row r="391" spans="2:5" ht="14.25" customHeight="1">
      <c r="B391" s="67" t="s">
        <v>149</v>
      </c>
      <c r="C391" s="67"/>
      <c r="D391" s="70"/>
      <c r="E391" s="12">
        <f>1248.71+37739.49</f>
        <v>38988.2</v>
      </c>
    </row>
    <row r="392" spans="2:5" ht="12" customHeight="1">
      <c r="B392" s="92" t="s">
        <v>133</v>
      </c>
      <c r="C392" s="93"/>
      <c r="D392" s="93"/>
      <c r="E392" s="12">
        <f>30976+1888*3</f>
        <v>36640</v>
      </c>
    </row>
    <row r="393" spans="2:5" ht="12" customHeight="1">
      <c r="B393" s="67" t="s">
        <v>152</v>
      </c>
      <c r="C393" s="67"/>
      <c r="D393" s="67"/>
      <c r="E393" s="54">
        <v>40000</v>
      </c>
    </row>
    <row r="394" spans="2:5" s="59" customFormat="1" ht="12" customHeight="1">
      <c r="B394" s="68" t="s">
        <v>168</v>
      </c>
      <c r="C394" s="69"/>
      <c r="D394" s="69"/>
      <c r="E394" s="25">
        <v>149174</v>
      </c>
    </row>
    <row r="395" spans="2:5" ht="12" customHeight="1">
      <c r="B395" s="68" t="s">
        <v>117</v>
      </c>
      <c r="C395" s="69"/>
      <c r="D395" s="69"/>
      <c r="E395" s="25">
        <f>640.7+641.75</f>
        <v>1282.45</v>
      </c>
    </row>
    <row r="396" ht="15">
      <c r="E396" s="39">
        <f>SUM(E345:E395)</f>
        <v>1286363.9098902585</v>
      </c>
    </row>
    <row r="397" spans="3:5" ht="12" customHeight="1">
      <c r="C397" s="40" t="s">
        <v>72</v>
      </c>
      <c r="D397" s="112">
        <f>'[3]Лист1'!$B$47</f>
        <v>1116723.3800000001</v>
      </c>
      <c r="E397" s="122"/>
    </row>
    <row r="398" spans="3:5" ht="12" customHeight="1">
      <c r="C398" s="40" t="s">
        <v>9</v>
      </c>
      <c r="D398" s="102">
        <f>'[3]Лист1'!$C$47</f>
        <v>1100461.7</v>
      </c>
      <c r="E398" s="103"/>
    </row>
    <row r="399" spans="3:5" ht="12" customHeight="1">
      <c r="C399" s="40" t="s">
        <v>106</v>
      </c>
      <c r="D399" s="49"/>
      <c r="E399" s="50">
        <f>E396</f>
        <v>1286363.9098902585</v>
      </c>
    </row>
    <row r="400" spans="3:5" ht="106.5" customHeight="1">
      <c r="C400" s="40"/>
      <c r="D400" s="45"/>
      <c r="E400" s="9"/>
    </row>
    <row r="401" spans="1:7" ht="24" customHeight="1">
      <c r="A401" s="109" t="s">
        <v>79</v>
      </c>
      <c r="B401" s="110"/>
      <c r="C401" s="110"/>
      <c r="D401" s="110"/>
      <c r="E401" s="110"/>
      <c r="F401" s="110"/>
      <c r="G401" s="110"/>
    </row>
    <row r="402" spans="2:5" ht="12" customHeight="1">
      <c r="B402" s="88" t="s">
        <v>0</v>
      </c>
      <c r="C402" s="88"/>
      <c r="D402" s="88"/>
      <c r="E402" s="7"/>
    </row>
    <row r="403" spans="2:12" ht="21" customHeight="1">
      <c r="B403" s="114" t="s">
        <v>1</v>
      </c>
      <c r="C403" s="120"/>
      <c r="D403" s="120"/>
      <c r="E403" s="43" t="s">
        <v>112</v>
      </c>
      <c r="H403" s="125" t="s">
        <v>108</v>
      </c>
      <c r="I403" s="125"/>
      <c r="J403" s="125"/>
      <c r="K403" s="125"/>
      <c r="L403" s="125"/>
    </row>
    <row r="404" spans="2:12" ht="15" customHeight="1" thickBot="1">
      <c r="B404" s="135" t="s">
        <v>56</v>
      </c>
      <c r="C404" s="120"/>
      <c r="D404" s="120"/>
      <c r="E404" s="120"/>
      <c r="H404" s="8" t="s">
        <v>26</v>
      </c>
      <c r="I404" s="8" t="s">
        <v>109</v>
      </c>
      <c r="J404" s="8" t="s">
        <v>47</v>
      </c>
      <c r="K404" s="8" t="s">
        <v>110</v>
      </c>
      <c r="L404" s="8" t="s">
        <v>111</v>
      </c>
    </row>
    <row r="405" spans="2:12" ht="23.25" customHeight="1" thickBot="1">
      <c r="B405" s="80" t="s">
        <v>40</v>
      </c>
      <c r="C405" s="81"/>
      <c r="D405" s="81"/>
      <c r="E405" s="22">
        <f>2.05*J405*12+J405*2*2.05+2.05*4*J405</f>
        <v>40988.52</v>
      </c>
      <c r="H405" s="1">
        <v>90</v>
      </c>
      <c r="I405" s="1">
        <v>4434.8</v>
      </c>
      <c r="J405" s="1">
        <v>1110.8</v>
      </c>
      <c r="K405" s="1">
        <f>J405</f>
        <v>1110.8</v>
      </c>
      <c r="L405" s="2">
        <v>68</v>
      </c>
    </row>
    <row r="406" spans="2:5" ht="36" customHeight="1">
      <c r="B406" s="76" t="s">
        <v>31</v>
      </c>
      <c r="C406" s="77"/>
      <c r="D406" s="77"/>
      <c r="E406" s="30">
        <f>(I405*2.05*2)</f>
        <v>18182.68</v>
      </c>
    </row>
    <row r="407" spans="2:5" ht="12" customHeight="1">
      <c r="B407" s="74" t="s">
        <v>32</v>
      </c>
      <c r="C407" s="74"/>
      <c r="D407" s="74"/>
      <c r="E407" s="22">
        <f>I405*2.05*2</f>
        <v>18182.68</v>
      </c>
    </row>
    <row r="408" spans="2:5" ht="12" customHeight="1" hidden="1">
      <c r="B408" s="74" t="s">
        <v>33</v>
      </c>
      <c r="C408" s="74"/>
      <c r="D408" s="74"/>
      <c r="E408" s="22"/>
    </row>
    <row r="409" spans="2:5" ht="22.5" customHeight="1">
      <c r="B409" s="74" t="s">
        <v>34</v>
      </c>
      <c r="C409" s="74"/>
      <c r="D409" s="74"/>
      <c r="E409" s="22">
        <f>(3*121.53*2*I405/1000)*3</f>
        <v>9701.302392000001</v>
      </c>
    </row>
    <row r="410" spans="2:5" ht="12" customHeight="1">
      <c r="B410" s="74" t="s">
        <v>14</v>
      </c>
      <c r="C410" s="74"/>
      <c r="D410" s="74"/>
      <c r="E410" s="22">
        <f>12*I405*0.83</f>
        <v>44170.608</v>
      </c>
    </row>
    <row r="411" spans="2:5" ht="12" customHeight="1">
      <c r="B411" s="74" t="s">
        <v>16</v>
      </c>
      <c r="C411" s="74"/>
      <c r="D411" s="74"/>
      <c r="E411" s="22">
        <f>12*I405*6.05</f>
        <v>321966.48000000004</v>
      </c>
    </row>
    <row r="412" spans="2:5" ht="12" customHeight="1">
      <c r="B412" s="74" t="s">
        <v>17</v>
      </c>
      <c r="C412" s="74"/>
      <c r="D412" s="74"/>
      <c r="E412" s="22">
        <f>1*L405*286.7</f>
        <v>19495.6</v>
      </c>
    </row>
    <row r="413" spans="2:5" ht="12" customHeight="1">
      <c r="B413" s="74" t="s">
        <v>15</v>
      </c>
      <c r="C413" s="74"/>
      <c r="D413" s="74"/>
      <c r="E413" s="22">
        <f>12*I405*0.54</f>
        <v>28737.504000000004</v>
      </c>
    </row>
    <row r="414" spans="2:5" ht="12" customHeight="1">
      <c r="B414" s="79" t="s">
        <v>19</v>
      </c>
      <c r="C414" s="79"/>
      <c r="D414" s="79"/>
      <c r="E414" s="22">
        <v>15000</v>
      </c>
    </row>
    <row r="415" spans="2:5" ht="6" customHeight="1">
      <c r="B415" s="74" t="s">
        <v>18</v>
      </c>
      <c r="C415" s="74"/>
      <c r="D415" s="74"/>
      <c r="E415" s="123">
        <f>12*I405*0.84</f>
        <v>44702.784</v>
      </c>
    </row>
    <row r="416" spans="2:5" ht="6" customHeight="1">
      <c r="B416" s="74"/>
      <c r="C416" s="74"/>
      <c r="D416" s="74"/>
      <c r="E416" s="123"/>
    </row>
    <row r="417" spans="2:5" ht="6" customHeight="1">
      <c r="B417" s="74" t="s">
        <v>35</v>
      </c>
      <c r="C417" s="74"/>
      <c r="D417" s="74"/>
      <c r="E417" s="123">
        <f>12*I405*1.79</f>
        <v>95259.50400000002</v>
      </c>
    </row>
    <row r="418" spans="2:5" ht="6" customHeight="1">
      <c r="B418" s="74"/>
      <c r="C418" s="74"/>
      <c r="D418" s="74"/>
      <c r="E418" s="123"/>
    </row>
    <row r="419" spans="2:5" ht="12" customHeight="1">
      <c r="B419" s="74" t="s">
        <v>41</v>
      </c>
      <c r="C419" s="74"/>
      <c r="D419" s="74"/>
      <c r="E419" s="22">
        <f>12*I405*0.37</f>
        <v>19690.512000000002</v>
      </c>
    </row>
    <row r="420" spans="2:5" ht="12" customHeight="1">
      <c r="B420" s="74" t="s">
        <v>42</v>
      </c>
      <c r="C420" s="74"/>
      <c r="D420" s="74"/>
      <c r="E420" s="22">
        <f>H405*2*70%*2*137.35*0.38</f>
        <v>13152.635999999999</v>
      </c>
    </row>
    <row r="421" spans="2:5" ht="12" customHeight="1">
      <c r="B421" s="74" t="s">
        <v>43</v>
      </c>
      <c r="C421" s="74"/>
      <c r="D421" s="74"/>
      <c r="E421" s="22">
        <f>H405*70%*2*137.35*0.38</f>
        <v>6576.317999999999</v>
      </c>
    </row>
    <row r="422" spans="2:5" ht="12" customHeight="1">
      <c r="B422" s="74" t="s">
        <v>44</v>
      </c>
      <c r="C422" s="75"/>
      <c r="D422" s="75"/>
      <c r="E422" s="22">
        <f>68.68*42</f>
        <v>2884.5600000000004</v>
      </c>
    </row>
    <row r="423" spans="2:5" ht="12" customHeight="1">
      <c r="B423" s="74" t="s">
        <v>4</v>
      </c>
      <c r="C423" s="75"/>
      <c r="D423" s="75"/>
      <c r="E423" s="22">
        <f>68.68*54</f>
        <v>3708.7200000000003</v>
      </c>
    </row>
    <row r="424" spans="2:5" ht="12" customHeight="1">
      <c r="B424" s="74" t="s">
        <v>45</v>
      </c>
      <c r="C424" s="75"/>
      <c r="D424" s="75"/>
      <c r="E424" s="22">
        <f>68.68*45</f>
        <v>3090.6000000000004</v>
      </c>
    </row>
    <row r="425" spans="2:5" s="10" customFormat="1" ht="15">
      <c r="B425" s="87" t="s">
        <v>158</v>
      </c>
      <c r="C425" s="87"/>
      <c r="D425" s="87"/>
      <c r="E425" s="56">
        <f>50.89*20</f>
        <v>1017.8</v>
      </c>
    </row>
    <row r="426" spans="2:5" s="10" customFormat="1" ht="11.25" customHeight="1">
      <c r="B426" s="87" t="s">
        <v>128</v>
      </c>
      <c r="C426" s="87"/>
      <c r="D426" s="87"/>
      <c r="E426" s="56">
        <f>1*'[1]на июль 15г'!$J$277</f>
        <v>835.5001207362125</v>
      </c>
    </row>
    <row r="427" spans="2:5" s="10" customFormat="1" ht="12.75" customHeight="1">
      <c r="B427" s="87" t="s">
        <v>145</v>
      </c>
      <c r="C427" s="87"/>
      <c r="D427" s="87"/>
      <c r="E427" s="55">
        <f>1*'[2]на июль 15г'!$J$988</f>
        <v>752.970178486447</v>
      </c>
    </row>
    <row r="428" spans="2:5" s="10" customFormat="1" ht="12" customHeight="1">
      <c r="B428" s="87" t="s">
        <v>172</v>
      </c>
      <c r="C428" s="124"/>
      <c r="D428" s="124"/>
      <c r="E428" s="62">
        <f>214.6*2</f>
        <v>429.2</v>
      </c>
    </row>
    <row r="429" spans="2:5" s="10" customFormat="1" ht="12" customHeight="1">
      <c r="B429" s="87" t="s">
        <v>89</v>
      </c>
      <c r="C429" s="87"/>
      <c r="D429" s="87"/>
      <c r="E429" s="56">
        <f>82*'[5]на июль 15г'!$J$1057</f>
        <v>9387.604425400208</v>
      </c>
    </row>
    <row r="430" spans="2:5" s="10" customFormat="1" ht="13.5" customHeight="1">
      <c r="B430" s="87" t="s">
        <v>159</v>
      </c>
      <c r="C430" s="87"/>
      <c r="D430" s="87"/>
      <c r="E430" s="56">
        <f>40*'[1]на июль 15г'!$J$198</f>
        <v>6580.321769900652</v>
      </c>
    </row>
    <row r="431" spans="2:5" s="10" customFormat="1" ht="12" customHeight="1">
      <c r="B431" s="87" t="s">
        <v>125</v>
      </c>
      <c r="C431" s="87"/>
      <c r="D431" s="87"/>
      <c r="E431" s="56">
        <f>11*'[1]на июль 15г'!$J$211</f>
        <v>633.7103468261813</v>
      </c>
    </row>
    <row r="432" spans="2:5" s="10" customFormat="1" ht="12" customHeight="1">
      <c r="B432" s="87" t="s">
        <v>139</v>
      </c>
      <c r="C432" s="87"/>
      <c r="D432" s="87"/>
      <c r="E432" s="55">
        <f>1*'[1]на июль 15г'!$J$277</f>
        <v>835.5001207362125</v>
      </c>
    </row>
    <row r="433" spans="2:5" s="10" customFormat="1" ht="12" customHeight="1">
      <c r="B433" s="87" t="s">
        <v>62</v>
      </c>
      <c r="C433" s="87"/>
      <c r="D433" s="87"/>
      <c r="E433" s="55">
        <f>2*'[1]на июль 15г'!$J$323</f>
        <v>199.95098965020944</v>
      </c>
    </row>
    <row r="434" spans="2:5" s="10" customFormat="1" ht="12.75" customHeight="1">
      <c r="B434" s="87" t="s">
        <v>8</v>
      </c>
      <c r="C434" s="87"/>
      <c r="D434" s="87"/>
      <c r="E434" s="56">
        <f>61*'[1]на июль 15г'!$J$211</f>
        <v>3514.2119233088238</v>
      </c>
    </row>
    <row r="435" spans="2:5" s="10" customFormat="1" ht="12" customHeight="1">
      <c r="B435" s="87" t="s">
        <v>7</v>
      </c>
      <c r="C435" s="87"/>
      <c r="D435" s="87"/>
      <c r="E435" s="56">
        <f>5*'[1]на июль 15г'!$J$264</f>
        <v>354.4716088119292</v>
      </c>
    </row>
    <row r="436" spans="2:6" ht="11.25" customHeight="1">
      <c r="B436" s="67" t="s">
        <v>86</v>
      </c>
      <c r="C436" s="78"/>
      <c r="D436" s="78"/>
      <c r="E436" s="12">
        <f>2*'[1]на июль 15г'!$J$688</f>
        <v>1953.562348610918</v>
      </c>
      <c r="F436" s="3"/>
    </row>
    <row r="437" spans="2:5" s="3" customFormat="1" ht="12" customHeight="1">
      <c r="B437" s="67" t="s">
        <v>22</v>
      </c>
      <c r="C437" s="78"/>
      <c r="D437" s="78"/>
      <c r="E437" s="12">
        <f>4*'[1]на июль 15г'!$J$434</f>
        <v>2449.4556890571025</v>
      </c>
    </row>
    <row r="438" spans="2:5" s="3" customFormat="1" ht="12" customHeight="1">
      <c r="B438" s="67" t="s">
        <v>12</v>
      </c>
      <c r="C438" s="78"/>
      <c r="D438" s="78"/>
      <c r="E438" s="12">
        <f>2*'[1]на июль 15г'!$J$444</f>
        <v>1369.231642964998</v>
      </c>
    </row>
    <row r="439" spans="2:5" ht="12" customHeight="1">
      <c r="B439" s="67" t="s">
        <v>66</v>
      </c>
      <c r="C439" s="67"/>
      <c r="D439" s="67"/>
      <c r="E439" s="14">
        <f>4*('[1]на июль 15г'!$J$677+'[1]на июль 15г'!$J$688)</f>
        <v>7053.577074443672</v>
      </c>
    </row>
    <row r="440" spans="2:5" s="3" customFormat="1" ht="12" customHeight="1">
      <c r="B440" s="67" t="s">
        <v>2</v>
      </c>
      <c r="C440" s="78"/>
      <c r="D440" s="78"/>
      <c r="E440" s="12">
        <f>1*'[1]на июль 15г'!$J$915</f>
        <v>467.02159089779934</v>
      </c>
    </row>
    <row r="441" spans="2:5" ht="23.25" customHeight="1">
      <c r="B441" s="67" t="s">
        <v>83</v>
      </c>
      <c r="C441" s="67"/>
      <c r="D441" s="67"/>
      <c r="E441" s="12">
        <f>6.5*'[1]на июль 15г'!$J$565</f>
        <v>3305.802593175149</v>
      </c>
    </row>
    <row r="442" spans="2:5" ht="12" customHeight="1">
      <c r="B442" s="67" t="s">
        <v>82</v>
      </c>
      <c r="C442" s="67"/>
      <c r="D442" s="67"/>
      <c r="E442" s="12">
        <f>6.5*'[1]на июль 15г'!$J$535</f>
        <v>2578.6767753551367</v>
      </c>
    </row>
    <row r="443" spans="2:5" s="24" customFormat="1" ht="15">
      <c r="B443" s="67" t="s">
        <v>11</v>
      </c>
      <c r="C443" s="67"/>
      <c r="D443" s="67"/>
      <c r="E443" s="11">
        <f>2201.44+550.57+15000</f>
        <v>17752.010000000002</v>
      </c>
    </row>
    <row r="444" spans="2:5" ht="12" customHeight="1">
      <c r="B444" s="67" t="s">
        <v>96</v>
      </c>
      <c r="C444" s="78"/>
      <c r="D444" s="78"/>
      <c r="E444" s="12">
        <v>1491.71</v>
      </c>
    </row>
    <row r="445" spans="2:5" ht="12" customHeight="1">
      <c r="B445" s="67" t="s">
        <v>141</v>
      </c>
      <c r="C445" s="78"/>
      <c r="D445" s="78"/>
      <c r="E445" s="12">
        <v>1508</v>
      </c>
    </row>
    <row r="446" spans="2:5" ht="12" customHeight="1">
      <c r="B446" s="67" t="s">
        <v>97</v>
      </c>
      <c r="C446" s="67"/>
      <c r="D446" s="67"/>
      <c r="E446" s="12">
        <v>2033.47</v>
      </c>
    </row>
    <row r="447" spans="2:5" ht="12" customHeight="1">
      <c r="B447" s="67" t="s">
        <v>148</v>
      </c>
      <c r="C447" s="67"/>
      <c r="D447" s="67"/>
      <c r="E447" s="12">
        <v>9992</v>
      </c>
    </row>
    <row r="448" spans="2:5" ht="14.25" customHeight="1">
      <c r="B448" s="67" t="s">
        <v>150</v>
      </c>
      <c r="C448" s="67"/>
      <c r="D448" s="67"/>
      <c r="E448" s="12">
        <v>744</v>
      </c>
    </row>
    <row r="449" spans="2:5" ht="12" customHeight="1">
      <c r="B449" s="67" t="s">
        <v>75</v>
      </c>
      <c r="C449" s="67"/>
      <c r="D449" s="67"/>
      <c r="E449" s="12">
        <v>1977.85</v>
      </c>
    </row>
    <row r="450" spans="2:5" ht="12" customHeight="1">
      <c r="B450" s="68" t="s">
        <v>117</v>
      </c>
      <c r="C450" s="69"/>
      <c r="D450" s="69"/>
      <c r="E450" s="54">
        <v>640.7</v>
      </c>
    </row>
    <row r="451" spans="2:5" s="64" customFormat="1" ht="12" customHeight="1">
      <c r="B451" s="67" t="s">
        <v>124</v>
      </c>
      <c r="C451" s="67"/>
      <c r="D451" s="67"/>
      <c r="E451" s="12">
        <f>509*4</f>
        <v>2036</v>
      </c>
    </row>
    <row r="452" spans="2:5" ht="14.25" customHeight="1">
      <c r="B452" s="67" t="s">
        <v>73</v>
      </c>
      <c r="C452" s="67"/>
      <c r="D452" s="67"/>
      <c r="E452" s="12" t="s">
        <v>104</v>
      </c>
    </row>
    <row r="453" spans="2:5" s="57" customFormat="1" ht="12" customHeight="1">
      <c r="B453" s="67" t="s">
        <v>165</v>
      </c>
      <c r="C453" s="78"/>
      <c r="D453" s="78"/>
      <c r="E453" s="12">
        <v>9225.16</v>
      </c>
    </row>
    <row r="454" spans="2:5" ht="12" customHeight="1">
      <c r="B454" s="67" t="s">
        <v>126</v>
      </c>
      <c r="C454" s="78"/>
      <c r="D454" s="78"/>
      <c r="E454" s="12">
        <f>1888*10+1888*3</f>
        <v>24544</v>
      </c>
    </row>
    <row r="455" ht="15">
      <c r="E455" s="39">
        <f>SUM(E405:E454)</f>
        <v>821154.4775903616</v>
      </c>
    </row>
    <row r="456" spans="3:5" ht="12" customHeight="1">
      <c r="C456" s="40" t="s">
        <v>71</v>
      </c>
      <c r="D456" s="112">
        <f>'[3]Лист1'!$B$48</f>
        <v>859551.7</v>
      </c>
      <c r="E456" s="122"/>
    </row>
    <row r="457" spans="3:5" ht="12" customHeight="1">
      <c r="C457" s="40" t="s">
        <v>9</v>
      </c>
      <c r="D457" s="102">
        <f>'[3]Лист1'!$C$48</f>
        <v>820870.7200000001</v>
      </c>
      <c r="E457" s="103"/>
    </row>
    <row r="458" spans="3:6" ht="12" customHeight="1">
      <c r="C458" s="40" t="s">
        <v>106</v>
      </c>
      <c r="D458" s="49"/>
      <c r="E458" s="50">
        <f>E455</f>
        <v>821154.4775903616</v>
      </c>
      <c r="F458" s="36"/>
    </row>
    <row r="459" spans="3:5" ht="117" customHeight="1">
      <c r="C459" s="40"/>
      <c r="D459" s="45"/>
      <c r="E459" s="9"/>
    </row>
    <row r="460" spans="1:7" ht="24" customHeight="1">
      <c r="A460" s="109" t="s">
        <v>79</v>
      </c>
      <c r="B460" s="110"/>
      <c r="C460" s="110"/>
      <c r="D460" s="110"/>
      <c r="E460" s="110"/>
      <c r="F460" s="110"/>
      <c r="G460" s="110"/>
    </row>
    <row r="461" spans="2:5" ht="12" customHeight="1">
      <c r="B461" s="88" t="s">
        <v>0</v>
      </c>
      <c r="C461" s="88"/>
      <c r="D461" s="88"/>
      <c r="E461" s="7"/>
    </row>
    <row r="462" spans="2:12" ht="21" customHeight="1">
      <c r="B462" s="83" t="s">
        <v>1</v>
      </c>
      <c r="C462" s="120"/>
      <c r="D462" s="120"/>
      <c r="E462" s="43" t="s">
        <v>112</v>
      </c>
      <c r="H462" s="125" t="s">
        <v>108</v>
      </c>
      <c r="I462" s="125"/>
      <c r="J462" s="125"/>
      <c r="K462" s="125"/>
      <c r="L462" s="125"/>
    </row>
    <row r="463" spans="2:12" ht="15" customHeight="1" thickBot="1">
      <c r="B463" s="121" t="s">
        <v>57</v>
      </c>
      <c r="C463" s="120"/>
      <c r="D463" s="120"/>
      <c r="E463" s="120"/>
      <c r="H463" s="8" t="s">
        <v>26</v>
      </c>
      <c r="I463" s="8" t="s">
        <v>109</v>
      </c>
      <c r="J463" s="8" t="s">
        <v>47</v>
      </c>
      <c r="K463" s="8" t="s">
        <v>110</v>
      </c>
      <c r="L463" s="8" t="s">
        <v>111</v>
      </c>
    </row>
    <row r="464" spans="2:12" ht="23.25" customHeight="1" thickBot="1">
      <c r="B464" s="76" t="s">
        <v>40</v>
      </c>
      <c r="C464" s="77"/>
      <c r="D464" s="77"/>
      <c r="E464" s="5">
        <f>2.05*J464*12+J464*2*2.05+2.05*4*J464</f>
        <v>40350.149999999994</v>
      </c>
      <c r="H464" s="1">
        <v>90</v>
      </c>
      <c r="I464" s="1">
        <v>4378.8</v>
      </c>
      <c r="J464" s="1">
        <v>1093.5</v>
      </c>
      <c r="K464" s="1">
        <f>J464</f>
        <v>1093.5</v>
      </c>
      <c r="L464" s="2">
        <v>68</v>
      </c>
    </row>
    <row r="465" spans="2:5" ht="36" customHeight="1">
      <c r="B465" s="74" t="s">
        <v>31</v>
      </c>
      <c r="C465" s="74"/>
      <c r="D465" s="74"/>
      <c r="E465" s="18">
        <f>(I464*2.05*2)</f>
        <v>17953.079999999998</v>
      </c>
    </row>
    <row r="466" spans="2:5" ht="12" customHeight="1">
      <c r="B466" s="74" t="s">
        <v>32</v>
      </c>
      <c r="C466" s="74"/>
      <c r="D466" s="74"/>
      <c r="E466" s="18">
        <f>I464*2.05*2</f>
        <v>17953.079999999998</v>
      </c>
    </row>
    <row r="467" spans="2:5" ht="12" customHeight="1" hidden="1">
      <c r="B467" s="74" t="s">
        <v>33</v>
      </c>
      <c r="C467" s="74"/>
      <c r="D467" s="74"/>
      <c r="E467" s="18"/>
    </row>
    <row r="468" spans="2:5" ht="22.5" customHeight="1">
      <c r="B468" s="74" t="s">
        <v>34</v>
      </c>
      <c r="C468" s="74"/>
      <c r="D468" s="74"/>
      <c r="E468" s="18">
        <f>(3*121.53*2*I464/1000)*3</f>
        <v>9578.800152000002</v>
      </c>
    </row>
    <row r="469" spans="2:5" ht="12" customHeight="1">
      <c r="B469" s="74" t="s">
        <v>14</v>
      </c>
      <c r="C469" s="74"/>
      <c r="D469" s="74"/>
      <c r="E469" s="18">
        <f>12*I464*0.86</f>
        <v>45189.21600000001</v>
      </c>
    </row>
    <row r="470" spans="2:5" ht="12" customHeight="1">
      <c r="B470" s="74" t="s">
        <v>16</v>
      </c>
      <c r="C470" s="74"/>
      <c r="D470" s="74"/>
      <c r="E470" s="18">
        <f>12*I464*6.05</f>
        <v>317900.88</v>
      </c>
    </row>
    <row r="471" spans="2:5" ht="12" customHeight="1">
      <c r="B471" s="74" t="s">
        <v>17</v>
      </c>
      <c r="C471" s="74"/>
      <c r="D471" s="74"/>
      <c r="E471" s="18">
        <f>1*L464*286.7</f>
        <v>19495.6</v>
      </c>
    </row>
    <row r="472" spans="2:5" ht="12" customHeight="1">
      <c r="B472" s="74" t="s">
        <v>15</v>
      </c>
      <c r="C472" s="74"/>
      <c r="D472" s="74"/>
      <c r="E472" s="18">
        <f>12*I464*0.54</f>
        <v>28374.624000000003</v>
      </c>
    </row>
    <row r="473" spans="2:5" ht="12" customHeight="1">
      <c r="B473" s="79" t="s">
        <v>19</v>
      </c>
      <c r="C473" s="79"/>
      <c r="D473" s="79"/>
      <c r="E473" s="18">
        <v>20000</v>
      </c>
    </row>
    <row r="474" spans="2:5" ht="6" customHeight="1">
      <c r="B474" s="74" t="s">
        <v>18</v>
      </c>
      <c r="C474" s="74"/>
      <c r="D474" s="74"/>
      <c r="E474" s="111">
        <f>12*I464*0.85</f>
        <v>44663.76</v>
      </c>
    </row>
    <row r="475" spans="2:5" ht="6" customHeight="1">
      <c r="B475" s="74"/>
      <c r="C475" s="74"/>
      <c r="D475" s="74"/>
      <c r="E475" s="111"/>
    </row>
    <row r="476" spans="2:5" ht="6" customHeight="1">
      <c r="B476" s="74" t="s">
        <v>35</v>
      </c>
      <c r="C476" s="74"/>
      <c r="D476" s="74"/>
      <c r="E476" s="111">
        <f>12*I464*1.48</f>
        <v>77767.48800000001</v>
      </c>
    </row>
    <row r="477" spans="2:5" ht="6" customHeight="1">
      <c r="B477" s="74"/>
      <c r="C477" s="74"/>
      <c r="D477" s="74"/>
      <c r="E477" s="111"/>
    </row>
    <row r="478" spans="2:5" ht="12" customHeight="1">
      <c r="B478" s="74" t="s">
        <v>41</v>
      </c>
      <c r="C478" s="74"/>
      <c r="D478" s="74"/>
      <c r="E478" s="18">
        <f>12*I464*0.37</f>
        <v>19441.872000000003</v>
      </c>
    </row>
    <row r="479" spans="2:5" ht="12" customHeight="1">
      <c r="B479" s="74" t="s">
        <v>42</v>
      </c>
      <c r="C479" s="74"/>
      <c r="D479" s="74"/>
      <c r="E479" s="18">
        <f>H464*2*80%*2*137.35*0.38</f>
        <v>15031.583999999999</v>
      </c>
    </row>
    <row r="480" spans="2:5" ht="12" customHeight="1">
      <c r="B480" s="74" t="s">
        <v>43</v>
      </c>
      <c r="C480" s="74"/>
      <c r="D480" s="74"/>
      <c r="E480" s="18">
        <f>H464*80%*2*137.35*0.38</f>
        <v>7515.7919999999995</v>
      </c>
    </row>
    <row r="481" spans="2:5" ht="12" customHeight="1">
      <c r="B481" s="74" t="s">
        <v>44</v>
      </c>
      <c r="C481" s="75"/>
      <c r="D481" s="75"/>
      <c r="E481" s="6">
        <f>68.68*25</f>
        <v>1717.0000000000002</v>
      </c>
    </row>
    <row r="482" spans="2:5" ht="12" customHeight="1">
      <c r="B482" s="74" t="s">
        <v>4</v>
      </c>
      <c r="C482" s="75"/>
      <c r="D482" s="75"/>
      <c r="E482" s="6">
        <f>68.68*20</f>
        <v>1373.6000000000001</v>
      </c>
    </row>
    <row r="483" spans="2:5" ht="12" customHeight="1">
      <c r="B483" s="74" t="s">
        <v>45</v>
      </c>
      <c r="C483" s="75"/>
      <c r="D483" s="75"/>
      <c r="E483" s="6">
        <f>68.68*15</f>
        <v>1030.2</v>
      </c>
    </row>
    <row r="484" spans="2:5" s="64" customFormat="1" ht="12" customHeight="1">
      <c r="B484" s="67" t="s">
        <v>92</v>
      </c>
      <c r="C484" s="67"/>
      <c r="D484" s="67"/>
      <c r="E484" s="12">
        <f>112.6*3</f>
        <v>337.79999999999995</v>
      </c>
    </row>
    <row r="485" spans="2:5" s="64" customFormat="1" ht="12" customHeight="1">
      <c r="B485" s="67" t="s">
        <v>70</v>
      </c>
      <c r="C485" s="67"/>
      <c r="D485" s="67"/>
      <c r="E485" s="12">
        <f>'[2]на июль 15г'!$J$333*6</f>
        <v>5734.057159693099</v>
      </c>
    </row>
    <row r="486" spans="2:5" s="64" customFormat="1" ht="12" customHeight="1">
      <c r="B486" s="67" t="s">
        <v>87</v>
      </c>
      <c r="C486" s="67"/>
      <c r="D486" s="67"/>
      <c r="E486" s="14">
        <f>2*'[1]на июль 15г'!$J$238</f>
        <v>10208.20409270605</v>
      </c>
    </row>
    <row r="487" spans="2:5" s="65" customFormat="1" ht="12" customHeight="1">
      <c r="B487" s="67" t="s">
        <v>137</v>
      </c>
      <c r="C487" s="67"/>
      <c r="D487" s="70"/>
      <c r="E487" s="14">
        <f>2*'[1]на июль 15г'!$J$277</f>
        <v>1671.000241472425</v>
      </c>
    </row>
    <row r="488" spans="2:5" s="64" customFormat="1" ht="14.25" customHeight="1">
      <c r="B488" s="67" t="s">
        <v>153</v>
      </c>
      <c r="C488" s="67"/>
      <c r="D488" s="67"/>
      <c r="E488" s="12">
        <f>50.89*5</f>
        <v>254.45</v>
      </c>
    </row>
    <row r="489" spans="2:5" s="64" customFormat="1" ht="12" customHeight="1">
      <c r="B489" s="67" t="s">
        <v>155</v>
      </c>
      <c r="C489" s="67"/>
      <c r="D489" s="67"/>
      <c r="E489" s="14">
        <f>1*'[2]на июль 15г'!$J$960</f>
        <v>1535.2004130751782</v>
      </c>
    </row>
    <row r="490" spans="2:5" s="64" customFormat="1" ht="12" customHeight="1">
      <c r="B490" s="67" t="s">
        <v>145</v>
      </c>
      <c r="C490" s="67"/>
      <c r="D490" s="67"/>
      <c r="E490" s="14">
        <f>3*'[2]на июль 15г'!$J$988</f>
        <v>2258.910535459341</v>
      </c>
    </row>
    <row r="491" spans="2:5" s="64" customFormat="1" ht="15" customHeight="1">
      <c r="B491" s="67" t="s">
        <v>89</v>
      </c>
      <c r="C491" s="67"/>
      <c r="D491" s="67"/>
      <c r="E491" s="12">
        <f>126*'[5]на июль 15г'!$J$1057</f>
        <v>14424.855580493002</v>
      </c>
    </row>
    <row r="492" spans="2:5" s="64" customFormat="1" ht="15">
      <c r="B492" s="67" t="s">
        <v>154</v>
      </c>
      <c r="C492" s="67"/>
      <c r="D492" s="70"/>
      <c r="E492" s="12">
        <f>12*'[1]на июль 15г'!$J$198</f>
        <v>1974.0965309701955</v>
      </c>
    </row>
    <row r="493" spans="2:5" s="64" customFormat="1" ht="12" customHeight="1">
      <c r="B493" s="67" t="s">
        <v>139</v>
      </c>
      <c r="C493" s="67"/>
      <c r="D493" s="70"/>
      <c r="E493" s="12">
        <f>2*'[1]на июль 15г'!$J$277</f>
        <v>1671.000241472425</v>
      </c>
    </row>
    <row r="494" spans="2:5" s="64" customFormat="1" ht="12" customHeight="1">
      <c r="B494" s="67" t="s">
        <v>62</v>
      </c>
      <c r="C494" s="67"/>
      <c r="D494" s="70"/>
      <c r="E494" s="12">
        <f>14*'[1]на июль 15г'!$J$323</f>
        <v>1399.656927551466</v>
      </c>
    </row>
    <row r="495" spans="2:5" s="64" customFormat="1" ht="12.75" customHeight="1">
      <c r="B495" s="67" t="s">
        <v>8</v>
      </c>
      <c r="C495" s="67"/>
      <c r="D495" s="70"/>
      <c r="E495" s="12">
        <f>41*'[1]на июль 15г'!$J$211</f>
        <v>2362.011292715767</v>
      </c>
    </row>
    <row r="496" spans="2:5" s="64" customFormat="1" ht="12" customHeight="1">
      <c r="B496" s="67" t="s">
        <v>131</v>
      </c>
      <c r="C496" s="67"/>
      <c r="D496" s="70"/>
      <c r="E496" s="12">
        <f>15*'[1]на июль 15г'!$J$211</f>
        <v>864.1504729447928</v>
      </c>
    </row>
    <row r="497" spans="2:5" s="64" customFormat="1" ht="12" customHeight="1">
      <c r="B497" s="67" t="s">
        <v>7</v>
      </c>
      <c r="C497" s="67"/>
      <c r="D497" s="70"/>
      <c r="E497" s="12">
        <f>3*'[1]на июль 15г'!$J$264</f>
        <v>212.6829652871575</v>
      </c>
    </row>
    <row r="498" spans="2:6" ht="12" customHeight="1">
      <c r="B498" s="72" t="s">
        <v>22</v>
      </c>
      <c r="C498" s="73"/>
      <c r="D498" s="73"/>
      <c r="E498" s="14">
        <f>2*'[1]на июль 15г'!$J$434</f>
        <v>1224.7278445285513</v>
      </c>
      <c r="F498" s="48"/>
    </row>
    <row r="499" spans="2:5" s="3" customFormat="1" ht="12" customHeight="1">
      <c r="B499" s="67" t="s">
        <v>12</v>
      </c>
      <c r="C499" s="67"/>
      <c r="D499" s="70"/>
      <c r="E499" s="12">
        <f>4*'[1]на июль 15г'!$J$444</f>
        <v>2738.463285929996</v>
      </c>
    </row>
    <row r="500" spans="2:5" s="24" customFormat="1" ht="15">
      <c r="B500" s="67" t="s">
        <v>11</v>
      </c>
      <c r="C500" s="67"/>
      <c r="D500" s="70"/>
      <c r="E500" s="11">
        <f>2201.44+550.57+15000</f>
        <v>17752.010000000002</v>
      </c>
    </row>
    <row r="501" spans="2:5" ht="12" customHeight="1">
      <c r="B501" s="67" t="s">
        <v>95</v>
      </c>
      <c r="C501" s="78"/>
      <c r="D501" s="150"/>
      <c r="E501" s="12">
        <v>1403.47</v>
      </c>
    </row>
    <row r="502" spans="2:5" ht="12" customHeight="1">
      <c r="B502" s="67" t="s">
        <v>96</v>
      </c>
      <c r="C502" s="78"/>
      <c r="D502" s="78"/>
      <c r="E502" s="12">
        <f>1491.71+849.95+1710.85</f>
        <v>4052.5099999999998</v>
      </c>
    </row>
    <row r="503" spans="2:5" ht="12" customHeight="1">
      <c r="B503" s="67" t="s">
        <v>164</v>
      </c>
      <c r="C503" s="67"/>
      <c r="D503" s="67"/>
      <c r="E503" s="12">
        <v>13432.35</v>
      </c>
    </row>
    <row r="504" spans="2:5" ht="12.75" customHeight="1">
      <c r="B504" s="67" t="s">
        <v>76</v>
      </c>
      <c r="C504" s="67"/>
      <c r="D504" s="67"/>
      <c r="E504" s="13">
        <v>13480.92</v>
      </c>
    </row>
    <row r="505" spans="2:5" ht="12.75" customHeight="1">
      <c r="B505" s="67" t="s">
        <v>77</v>
      </c>
      <c r="C505" s="67"/>
      <c r="D505" s="67"/>
      <c r="E505" s="13">
        <v>20794.65</v>
      </c>
    </row>
    <row r="506" spans="2:5" ht="12.75" customHeight="1">
      <c r="B506" s="67" t="s">
        <v>73</v>
      </c>
      <c r="C506" s="67"/>
      <c r="D506" s="67"/>
      <c r="E506" s="12" t="s">
        <v>104</v>
      </c>
    </row>
    <row r="507" spans="2:5" ht="12" customHeight="1">
      <c r="B507" s="67" t="s">
        <v>115</v>
      </c>
      <c r="C507" s="78"/>
      <c r="D507" s="78"/>
      <c r="E507" s="12">
        <f>1888*3</f>
        <v>5664</v>
      </c>
    </row>
    <row r="508" spans="2:5" ht="12" customHeight="1">
      <c r="B508" s="67" t="s">
        <v>142</v>
      </c>
      <c r="C508" s="67"/>
      <c r="D508" s="67"/>
      <c r="E508" s="12">
        <v>2755.93</v>
      </c>
    </row>
    <row r="509" spans="2:5" s="64" customFormat="1" ht="12" customHeight="1">
      <c r="B509" s="67" t="s">
        <v>178</v>
      </c>
      <c r="C509" s="67"/>
      <c r="D509" s="67"/>
      <c r="E509" s="12">
        <v>506</v>
      </c>
    </row>
    <row r="510" spans="2:5" ht="14.25" customHeight="1">
      <c r="B510" s="67" t="s">
        <v>150</v>
      </c>
      <c r="C510" s="67"/>
      <c r="D510" s="67"/>
      <c r="E510" s="12">
        <v>744</v>
      </c>
    </row>
    <row r="511" spans="2:5" ht="12" customHeight="1">
      <c r="B511" s="67" t="s">
        <v>119</v>
      </c>
      <c r="C511" s="67"/>
      <c r="D511" s="67"/>
      <c r="E511" s="12">
        <v>1836</v>
      </c>
    </row>
    <row r="512" spans="2:5" ht="12" customHeight="1">
      <c r="B512" s="67" t="s">
        <v>101</v>
      </c>
      <c r="C512" s="67"/>
      <c r="D512" s="67"/>
      <c r="E512" s="12">
        <v>4741.35</v>
      </c>
    </row>
    <row r="513" spans="2:5" ht="12" customHeight="1">
      <c r="B513" s="67" t="s">
        <v>10</v>
      </c>
      <c r="C513" s="67"/>
      <c r="D513" s="67"/>
      <c r="E513" s="12">
        <f>2000*4</f>
        <v>8000</v>
      </c>
    </row>
    <row r="514" spans="2:5" ht="12" customHeight="1">
      <c r="B514" s="116"/>
      <c r="C514" s="117"/>
      <c r="D514" s="118"/>
      <c r="E514" s="51"/>
    </row>
    <row r="515" ht="15">
      <c r="E515" s="39">
        <f>SUM(E464:E514)</f>
        <v>829371.1837362993</v>
      </c>
    </row>
    <row r="516" spans="3:5" ht="12" customHeight="1">
      <c r="C516" s="40" t="s">
        <v>72</v>
      </c>
      <c r="D516" s="119">
        <f>'[3]Лист1'!$B$49</f>
        <v>848701.7999999999</v>
      </c>
      <c r="E516" s="119"/>
    </row>
    <row r="517" spans="3:5" ht="12" customHeight="1">
      <c r="C517" s="40" t="s">
        <v>9</v>
      </c>
      <c r="D517" s="102">
        <f>'[3]Лист1'!$C$49</f>
        <v>850524.22</v>
      </c>
      <c r="E517" s="102"/>
    </row>
    <row r="518" spans="3:6" ht="12" customHeight="1">
      <c r="C518" s="40" t="s">
        <v>106</v>
      </c>
      <c r="D518" s="49"/>
      <c r="E518" s="49">
        <f>E515</f>
        <v>829371.1837362993</v>
      </c>
      <c r="F518" s="36"/>
    </row>
    <row r="519" spans="3:5" ht="105.75" customHeight="1">
      <c r="C519" s="40"/>
      <c r="D519" s="45"/>
      <c r="E519" s="9"/>
    </row>
    <row r="520" spans="1:7" ht="24" customHeight="1">
      <c r="A520" s="109" t="s">
        <v>79</v>
      </c>
      <c r="B520" s="109"/>
      <c r="C520" s="109"/>
      <c r="D520" s="109"/>
      <c r="E520" s="109"/>
      <c r="F520" s="109"/>
      <c r="G520" s="109"/>
    </row>
    <row r="521" spans="2:5" ht="12" customHeight="1">
      <c r="B521" s="88" t="s">
        <v>0</v>
      </c>
      <c r="C521" s="88"/>
      <c r="D521" s="88"/>
      <c r="E521" s="7"/>
    </row>
    <row r="522" spans="2:12" ht="21" customHeight="1">
      <c r="B522" s="83" t="s">
        <v>1</v>
      </c>
      <c r="C522" s="84"/>
      <c r="D522" s="84"/>
      <c r="E522" s="43" t="s">
        <v>112</v>
      </c>
      <c r="H522" s="125" t="s">
        <v>108</v>
      </c>
      <c r="I522" s="125"/>
      <c r="J522" s="125"/>
      <c r="K522" s="125"/>
      <c r="L522" s="125"/>
    </row>
    <row r="523" spans="2:12" ht="15" customHeight="1" thickBot="1">
      <c r="B523" s="85" t="s">
        <v>58</v>
      </c>
      <c r="C523" s="86"/>
      <c r="D523" s="86"/>
      <c r="E523" s="86"/>
      <c r="H523" s="8" t="s">
        <v>26</v>
      </c>
      <c r="I523" s="8" t="s">
        <v>109</v>
      </c>
      <c r="J523" s="8" t="s">
        <v>47</v>
      </c>
      <c r="K523" s="8" t="s">
        <v>110</v>
      </c>
      <c r="L523" s="8" t="s">
        <v>111</v>
      </c>
    </row>
    <row r="524" spans="2:12" ht="23.25" customHeight="1" thickBot="1">
      <c r="B524" s="74" t="s">
        <v>40</v>
      </c>
      <c r="C524" s="74"/>
      <c r="D524" s="74"/>
      <c r="E524" s="18">
        <f>2.05*J524*12+J524*2*2.05+2.05*4*J524</f>
        <v>41003.28</v>
      </c>
      <c r="H524" s="1">
        <v>90</v>
      </c>
      <c r="I524" s="1">
        <v>4463.4</v>
      </c>
      <c r="J524" s="1">
        <v>1111.2</v>
      </c>
      <c r="K524" s="1">
        <f>J524</f>
        <v>1111.2</v>
      </c>
      <c r="L524" s="2">
        <v>68</v>
      </c>
    </row>
    <row r="525" spans="2:5" ht="36" customHeight="1">
      <c r="B525" s="74" t="s">
        <v>31</v>
      </c>
      <c r="C525" s="74"/>
      <c r="D525" s="74"/>
      <c r="E525" s="18">
        <f>(I524*2.05*2)</f>
        <v>18299.94</v>
      </c>
    </row>
    <row r="526" spans="2:5" ht="12" customHeight="1">
      <c r="B526" s="74" t="s">
        <v>32</v>
      </c>
      <c r="C526" s="74"/>
      <c r="D526" s="74"/>
      <c r="E526" s="18">
        <f>I524*2.05*2</f>
        <v>18299.94</v>
      </c>
    </row>
    <row r="527" spans="2:5" ht="12" customHeight="1" hidden="1">
      <c r="B527" s="74" t="s">
        <v>33</v>
      </c>
      <c r="C527" s="74"/>
      <c r="D527" s="74"/>
      <c r="E527" s="18"/>
    </row>
    <row r="528" spans="2:5" ht="23.25" customHeight="1">
      <c r="B528" s="74" t="s">
        <v>34</v>
      </c>
      <c r="C528" s="74"/>
      <c r="D528" s="74"/>
      <c r="E528" s="18">
        <f>(3*121.53*2*I524/1000)*3</f>
        <v>9763.866036000001</v>
      </c>
    </row>
    <row r="529" spans="2:5" ht="12" customHeight="1">
      <c r="B529" s="74" t="s">
        <v>14</v>
      </c>
      <c r="C529" s="74"/>
      <c r="D529" s="74"/>
      <c r="E529" s="18">
        <f>12*I524*0.83</f>
        <v>44455.46399999999</v>
      </c>
    </row>
    <row r="530" spans="2:5" ht="12" customHeight="1">
      <c r="B530" s="74" t="s">
        <v>16</v>
      </c>
      <c r="C530" s="74"/>
      <c r="D530" s="74"/>
      <c r="E530" s="18">
        <f>12*I524*6.05</f>
        <v>324042.83999999997</v>
      </c>
    </row>
    <row r="531" spans="2:5" ht="12" customHeight="1">
      <c r="B531" s="74" t="s">
        <v>17</v>
      </c>
      <c r="C531" s="74"/>
      <c r="D531" s="74"/>
      <c r="E531" s="18">
        <f>1*L524*286.7</f>
        <v>19495.6</v>
      </c>
    </row>
    <row r="532" spans="2:5" ht="12" customHeight="1">
      <c r="B532" s="74" t="s">
        <v>15</v>
      </c>
      <c r="C532" s="74"/>
      <c r="D532" s="74"/>
      <c r="E532" s="18">
        <f>12*I524*0.54</f>
        <v>28922.832</v>
      </c>
    </row>
    <row r="533" spans="2:5" ht="12" customHeight="1">
      <c r="B533" s="79" t="s">
        <v>19</v>
      </c>
      <c r="C533" s="79"/>
      <c r="D533" s="79"/>
      <c r="E533" s="18">
        <v>10000</v>
      </c>
    </row>
    <row r="534" spans="2:5" ht="6" customHeight="1">
      <c r="B534" s="74" t="s">
        <v>18</v>
      </c>
      <c r="C534" s="74"/>
      <c r="D534" s="74"/>
      <c r="E534" s="111">
        <f>12*I524*0.8</f>
        <v>42848.64</v>
      </c>
    </row>
    <row r="535" spans="2:5" ht="6" customHeight="1">
      <c r="B535" s="74"/>
      <c r="C535" s="74"/>
      <c r="D535" s="74"/>
      <c r="E535" s="111"/>
    </row>
    <row r="536" spans="2:5" ht="6" customHeight="1">
      <c r="B536" s="74" t="s">
        <v>35</v>
      </c>
      <c r="C536" s="74"/>
      <c r="D536" s="74"/>
      <c r="E536" s="111">
        <f>12*I524*1.46</f>
        <v>78198.768</v>
      </c>
    </row>
    <row r="537" spans="2:5" ht="6" customHeight="1">
      <c r="B537" s="74"/>
      <c r="C537" s="74"/>
      <c r="D537" s="74"/>
      <c r="E537" s="111"/>
    </row>
    <row r="538" spans="2:5" ht="12" customHeight="1">
      <c r="B538" s="74" t="s">
        <v>46</v>
      </c>
      <c r="C538" s="74"/>
      <c r="D538" s="74"/>
      <c r="E538" s="18">
        <f>2100</f>
        <v>2100</v>
      </c>
    </row>
    <row r="539" spans="2:5" ht="12" customHeight="1">
      <c r="B539" s="74" t="s">
        <v>41</v>
      </c>
      <c r="C539" s="74"/>
      <c r="D539" s="74"/>
      <c r="E539" s="18">
        <f>12*I524*0.37</f>
        <v>19817.496</v>
      </c>
    </row>
    <row r="540" spans="2:5" ht="12" customHeight="1">
      <c r="B540" s="74" t="s">
        <v>42</v>
      </c>
      <c r="C540" s="74"/>
      <c r="D540" s="74"/>
      <c r="E540" s="18">
        <f>H524*2*90%*2*137.35*0.38</f>
        <v>16910.532</v>
      </c>
    </row>
    <row r="541" spans="2:5" ht="12" customHeight="1">
      <c r="B541" s="74" t="s">
        <v>43</v>
      </c>
      <c r="C541" s="74"/>
      <c r="D541" s="74"/>
      <c r="E541" s="18">
        <f>H524*90%*2*137.35*0.38</f>
        <v>8455.266</v>
      </c>
    </row>
    <row r="542" spans="2:5" ht="12" customHeight="1">
      <c r="B542" s="74" t="s">
        <v>44</v>
      </c>
      <c r="C542" s="74"/>
      <c r="D542" s="74"/>
      <c r="E542" s="6">
        <v>1442.28</v>
      </c>
    </row>
    <row r="543" spans="2:5" ht="12" customHeight="1">
      <c r="B543" s="74" t="s">
        <v>4</v>
      </c>
      <c r="C543" s="74"/>
      <c r="D543" s="74"/>
      <c r="E543" s="6">
        <v>3090.6</v>
      </c>
    </row>
    <row r="544" spans="2:5" ht="12" customHeight="1">
      <c r="B544" s="74" t="s">
        <v>45</v>
      </c>
      <c r="C544" s="74"/>
      <c r="D544" s="74"/>
      <c r="E544" s="6">
        <f>755.48*4</f>
        <v>3021.92</v>
      </c>
    </row>
    <row r="545" spans="2:5" s="64" customFormat="1" ht="12" customHeight="1">
      <c r="B545" s="67" t="s">
        <v>173</v>
      </c>
      <c r="C545" s="78"/>
      <c r="D545" s="78"/>
      <c r="E545" s="14">
        <f>4*'[2]на июль 15г'!$J$1015</f>
        <v>3385.554100325078</v>
      </c>
    </row>
    <row r="546" spans="2:5" s="64" customFormat="1" ht="12.75" customHeight="1">
      <c r="B546" s="113" t="s">
        <v>69</v>
      </c>
      <c r="C546" s="113"/>
      <c r="D546" s="113"/>
      <c r="E546" s="14">
        <f>'[2]на июль 15г'!$J$974*1+'[2]на июль 15г'!$J$940*1</f>
        <v>1219.1613142687702</v>
      </c>
    </row>
    <row r="547" spans="2:5" s="64" customFormat="1" ht="12" customHeight="1">
      <c r="B547" s="67" t="s">
        <v>70</v>
      </c>
      <c r="C547" s="67"/>
      <c r="D547" s="67"/>
      <c r="E547" s="12">
        <f>'[2]на июль 15г'!$J$333*1</f>
        <v>955.6761932821831</v>
      </c>
    </row>
    <row r="548" spans="2:5" s="64" customFormat="1" ht="15">
      <c r="B548" s="67" t="s">
        <v>153</v>
      </c>
      <c r="C548" s="67"/>
      <c r="D548" s="67"/>
      <c r="E548" s="14">
        <f>50.89*7</f>
        <v>356.23</v>
      </c>
    </row>
    <row r="549" spans="2:5" s="64" customFormat="1" ht="12" customHeight="1">
      <c r="B549" s="67" t="s">
        <v>87</v>
      </c>
      <c r="C549" s="67"/>
      <c r="D549" s="67"/>
      <c r="E549" s="14">
        <f>2*'[1]на июль 15г'!$J$238</f>
        <v>10208.20409270605</v>
      </c>
    </row>
    <row r="550" spans="2:5" s="64" customFormat="1" ht="12" customHeight="1">
      <c r="B550" s="67" t="s">
        <v>145</v>
      </c>
      <c r="C550" s="67"/>
      <c r="D550" s="67"/>
      <c r="E550" s="14">
        <f>5*'[2]на июль 15г'!$J$988</f>
        <v>3764.850892432235</v>
      </c>
    </row>
    <row r="551" spans="2:5" s="64" customFormat="1" ht="11.25" customHeight="1">
      <c r="B551" s="67" t="s">
        <v>128</v>
      </c>
      <c r="C551" s="67"/>
      <c r="D551" s="67"/>
      <c r="E551" s="14">
        <f>2*'[1]на июль 15г'!$J$277</f>
        <v>1671.000241472425</v>
      </c>
    </row>
    <row r="552" spans="2:5" s="64" customFormat="1" ht="15" customHeight="1">
      <c r="B552" s="67" t="s">
        <v>89</v>
      </c>
      <c r="C552" s="67"/>
      <c r="D552" s="67"/>
      <c r="E552" s="12">
        <f>46*'[5]на июль 15г'!$J$1057</f>
        <v>5266.217116687922</v>
      </c>
    </row>
    <row r="553" spans="2:5" s="64" customFormat="1" ht="12" customHeight="1">
      <c r="B553" s="67" t="s">
        <v>143</v>
      </c>
      <c r="C553" s="67"/>
      <c r="D553" s="67"/>
      <c r="E553" s="14">
        <f>4*'[1]на июль 15г'!$J$277</f>
        <v>3342.00048294485</v>
      </c>
    </row>
    <row r="554" spans="2:5" s="64" customFormat="1" ht="15" customHeight="1">
      <c r="B554" s="67" t="s">
        <v>154</v>
      </c>
      <c r="C554" s="67"/>
      <c r="D554" s="67"/>
      <c r="E554" s="12">
        <f>13*'[1]на июль 15г'!$J$198</f>
        <v>2138.604575217712</v>
      </c>
    </row>
    <row r="555" spans="2:5" s="64" customFormat="1" ht="12" customHeight="1">
      <c r="B555" s="67" t="s">
        <v>62</v>
      </c>
      <c r="C555" s="67"/>
      <c r="D555" s="67"/>
      <c r="E555" s="14">
        <f>3*'[1]на июль 15г'!$J$323</f>
        <v>299.92648447531417</v>
      </c>
    </row>
    <row r="556" spans="2:5" s="64" customFormat="1" ht="12.75" customHeight="1">
      <c r="B556" s="67" t="s">
        <v>90</v>
      </c>
      <c r="C556" s="67"/>
      <c r="D556" s="67"/>
      <c r="E556" s="14">
        <f>2*'[2]на июль 15г'!$J$224</f>
        <v>3102.4548754457614</v>
      </c>
    </row>
    <row r="557" spans="2:5" s="64" customFormat="1" ht="15">
      <c r="B557" s="67" t="s">
        <v>8</v>
      </c>
      <c r="C557" s="67"/>
      <c r="D557" s="67"/>
      <c r="E557" s="12">
        <f>48*'[1]на июль 15г'!$J$211</f>
        <v>2765.281513423337</v>
      </c>
    </row>
    <row r="558" spans="2:5" s="64" customFormat="1" ht="15">
      <c r="B558" s="67" t="s">
        <v>125</v>
      </c>
      <c r="C558" s="67"/>
      <c r="D558" s="67"/>
      <c r="E558" s="12">
        <f>18*'[1]на июль 15г'!$J$211</f>
        <v>1036.9805675337514</v>
      </c>
    </row>
    <row r="559" spans="2:5" s="64" customFormat="1" ht="12" customHeight="1">
      <c r="B559" s="67" t="s">
        <v>7</v>
      </c>
      <c r="C559" s="67"/>
      <c r="D559" s="67"/>
      <c r="E559" s="14">
        <f>3*'[1]на июль 15г'!$J$264</f>
        <v>212.6829652871575</v>
      </c>
    </row>
    <row r="560" spans="2:5" s="3" customFormat="1" ht="12" customHeight="1">
      <c r="B560" s="67" t="s">
        <v>66</v>
      </c>
      <c r="C560" s="67"/>
      <c r="D560" s="67"/>
      <c r="E560" s="14">
        <f>4*('[1]на июль 15г'!$J$688+'[1]на июль 15г'!$J$677)</f>
        <v>7053.577074443672</v>
      </c>
    </row>
    <row r="561" spans="2:5" ht="12" customHeight="1">
      <c r="B561" s="67" t="s">
        <v>24</v>
      </c>
      <c r="C561" s="67"/>
      <c r="D561" s="67"/>
      <c r="E561" s="14">
        <f>2*('[1]на июль 15г'!$J$699+'[1]на июль 15г'!$J$677)</f>
        <v>4357.70576277048</v>
      </c>
    </row>
    <row r="562" spans="2:5" ht="14.25" customHeight="1">
      <c r="B562" s="67" t="s">
        <v>11</v>
      </c>
      <c r="C562" s="67"/>
      <c r="D562" s="67"/>
      <c r="E562" s="11">
        <f>635.88+285+1890.86+1823.57</f>
        <v>4635.3099999999995</v>
      </c>
    </row>
    <row r="563" spans="2:5" ht="12" customHeight="1">
      <c r="B563" s="67" t="s">
        <v>94</v>
      </c>
      <c r="C563" s="67"/>
      <c r="D563" s="67"/>
      <c r="E563" s="12">
        <v>16007.89</v>
      </c>
    </row>
    <row r="564" spans="2:5" ht="12" customHeight="1">
      <c r="B564" s="67" t="s">
        <v>96</v>
      </c>
      <c r="C564" s="78"/>
      <c r="D564" s="78"/>
      <c r="E564" s="11">
        <f>1491.71+849.95</f>
        <v>2341.66</v>
      </c>
    </row>
    <row r="565" spans="2:5" ht="12" customHeight="1">
      <c r="B565" s="70" t="s">
        <v>117</v>
      </c>
      <c r="C565" s="144"/>
      <c r="D565" s="145"/>
      <c r="E565" s="25">
        <f>641.75</f>
        <v>641.75</v>
      </c>
    </row>
    <row r="566" spans="2:5" s="24" customFormat="1" ht="15">
      <c r="B566" s="67" t="s">
        <v>11</v>
      </c>
      <c r="C566" s="67"/>
      <c r="D566" s="67"/>
      <c r="E566" s="11">
        <f>2201.44+550.57+4000</f>
        <v>6752.01</v>
      </c>
    </row>
    <row r="567" spans="2:5" ht="15">
      <c r="B567" s="67" t="s">
        <v>73</v>
      </c>
      <c r="C567" s="78"/>
      <c r="D567" s="78"/>
      <c r="E567" s="11">
        <f>6456.52</f>
        <v>6456.52</v>
      </c>
    </row>
    <row r="568" spans="2:5" ht="14.25" customHeight="1">
      <c r="B568" s="67" t="s">
        <v>150</v>
      </c>
      <c r="C568" s="67"/>
      <c r="D568" s="67"/>
      <c r="E568" s="12">
        <v>744</v>
      </c>
    </row>
    <row r="569" spans="2:5" ht="12" customHeight="1">
      <c r="B569" s="113" t="s">
        <v>107</v>
      </c>
      <c r="C569" s="113"/>
      <c r="D569" s="113"/>
      <c r="E569" s="11">
        <v>119</v>
      </c>
    </row>
    <row r="570" spans="2:5" ht="12" customHeight="1">
      <c r="B570" s="67" t="s">
        <v>122</v>
      </c>
      <c r="C570" s="67"/>
      <c r="D570" s="67"/>
      <c r="E570" s="11">
        <f>1671</f>
        <v>1671</v>
      </c>
    </row>
    <row r="571" ht="15">
      <c r="E571" s="39">
        <f>SUM(E524:E570)</f>
        <v>780674.5122887169</v>
      </c>
    </row>
    <row r="572" spans="3:5" ht="12" customHeight="1">
      <c r="C572" s="40" t="s">
        <v>72</v>
      </c>
      <c r="D572" s="112">
        <f>'[3]Лист1'!$B$50</f>
        <v>865090.55</v>
      </c>
      <c r="E572" s="112"/>
    </row>
    <row r="573" spans="3:8" ht="12" customHeight="1">
      <c r="C573" s="40" t="s">
        <v>9</v>
      </c>
      <c r="D573" s="102">
        <f>'[3]Лист1'!$C$50</f>
        <v>863590.8900000001</v>
      </c>
      <c r="E573" s="102"/>
      <c r="H573" s="36"/>
    </row>
    <row r="574" spans="3:6" ht="12" customHeight="1">
      <c r="C574" s="40" t="s">
        <v>106</v>
      </c>
      <c r="D574" s="49"/>
      <c r="E574" s="50">
        <f>E571</f>
        <v>780674.5122887169</v>
      </c>
      <c r="F574" s="36"/>
    </row>
    <row r="575" spans="3:5" ht="132.75" customHeight="1">
      <c r="C575" s="40"/>
      <c r="D575" s="45"/>
      <c r="E575" s="9"/>
    </row>
    <row r="576" spans="1:7" ht="24" customHeight="1">
      <c r="A576" s="109" t="s">
        <v>79</v>
      </c>
      <c r="B576" s="109"/>
      <c r="C576" s="109"/>
      <c r="D576" s="109"/>
      <c r="E576" s="109"/>
      <c r="F576" s="109"/>
      <c r="G576" s="109"/>
    </row>
    <row r="577" spans="2:5" ht="12" customHeight="1">
      <c r="B577" s="88" t="s">
        <v>0</v>
      </c>
      <c r="C577" s="88"/>
      <c r="D577" s="88"/>
      <c r="E577" s="7"/>
    </row>
    <row r="578" spans="2:12" ht="21" customHeight="1">
      <c r="B578" s="114" t="s">
        <v>1</v>
      </c>
      <c r="C578" s="84"/>
      <c r="D578" s="84"/>
      <c r="E578" s="43" t="s">
        <v>112</v>
      </c>
      <c r="H578" s="125" t="s">
        <v>108</v>
      </c>
      <c r="I578" s="125"/>
      <c r="J578" s="125"/>
      <c r="K578" s="125"/>
      <c r="L578" s="125"/>
    </row>
    <row r="579" spans="2:12" ht="15" customHeight="1" thickBot="1">
      <c r="B579" s="115" t="s">
        <v>59</v>
      </c>
      <c r="C579" s="86"/>
      <c r="D579" s="86"/>
      <c r="E579" s="86"/>
      <c r="H579" s="8" t="s">
        <v>26</v>
      </c>
      <c r="I579" s="8" t="s">
        <v>109</v>
      </c>
      <c r="J579" s="8" t="s">
        <v>47</v>
      </c>
      <c r="K579" s="8" t="s">
        <v>110</v>
      </c>
      <c r="L579" s="8" t="s">
        <v>111</v>
      </c>
    </row>
    <row r="580" spans="2:12" ht="23.25" customHeight="1" thickBot="1">
      <c r="B580" s="80" t="s">
        <v>40</v>
      </c>
      <c r="C580" s="81"/>
      <c r="D580" s="82"/>
      <c r="E580" s="18">
        <f>2.05*J580*12+J580*2*2.05+2.05*4*J580</f>
        <v>3140.1899999999996</v>
      </c>
      <c r="H580" s="1">
        <v>79</v>
      </c>
      <c r="I580" s="1">
        <v>3398.8</v>
      </c>
      <c r="J580" s="1">
        <v>85.1</v>
      </c>
      <c r="K580" s="1">
        <v>1232.5</v>
      </c>
      <c r="L580" s="2">
        <v>26</v>
      </c>
    </row>
    <row r="581" spans="2:5" ht="36" customHeight="1">
      <c r="B581" s="80" t="s">
        <v>31</v>
      </c>
      <c r="C581" s="81"/>
      <c r="D581" s="82"/>
      <c r="E581" s="18">
        <f>(I580*2.05*2)</f>
        <v>13935.08</v>
      </c>
    </row>
    <row r="582" spans="2:5" ht="12" customHeight="1">
      <c r="B582" s="80" t="s">
        <v>32</v>
      </c>
      <c r="C582" s="81"/>
      <c r="D582" s="82"/>
      <c r="E582" s="18">
        <f>I580*2.05*2</f>
        <v>13935.08</v>
      </c>
    </row>
    <row r="583" spans="2:5" ht="12" customHeight="1" hidden="1">
      <c r="B583" s="80" t="s">
        <v>33</v>
      </c>
      <c r="C583" s="81"/>
      <c r="D583" s="82"/>
      <c r="E583" s="18"/>
    </row>
    <row r="584" spans="2:5" ht="22.5" customHeight="1">
      <c r="B584" s="80" t="s">
        <v>34</v>
      </c>
      <c r="C584" s="81"/>
      <c r="D584" s="82"/>
      <c r="E584" s="18">
        <f>(3*121.53*2*I580/1000)*3</f>
        <v>7435.0109520000005</v>
      </c>
    </row>
    <row r="585" spans="2:5" ht="12" customHeight="1">
      <c r="B585" s="80" t="s">
        <v>14</v>
      </c>
      <c r="C585" s="81"/>
      <c r="D585" s="82"/>
      <c r="E585" s="18">
        <f>12*I580*0.83</f>
        <v>33852.048</v>
      </c>
    </row>
    <row r="586" spans="2:5" ht="12" customHeight="1">
      <c r="B586" s="80" t="s">
        <v>16</v>
      </c>
      <c r="C586" s="81"/>
      <c r="D586" s="82"/>
      <c r="E586" s="18">
        <f>12*I580*6.05</f>
        <v>246752.88000000003</v>
      </c>
    </row>
    <row r="587" spans="2:5" ht="12" customHeight="1">
      <c r="B587" s="80" t="s">
        <v>17</v>
      </c>
      <c r="C587" s="81"/>
      <c r="D587" s="82"/>
      <c r="E587" s="18">
        <f>1*L580*286.7</f>
        <v>7454.2</v>
      </c>
    </row>
    <row r="588" spans="2:5" ht="12" customHeight="1">
      <c r="B588" s="80" t="s">
        <v>15</v>
      </c>
      <c r="C588" s="81"/>
      <c r="D588" s="82"/>
      <c r="E588" s="18">
        <f>12*I580*0.54</f>
        <v>22024.224000000006</v>
      </c>
    </row>
    <row r="589" spans="2:5" ht="12" customHeight="1">
      <c r="B589" s="104" t="s">
        <v>19</v>
      </c>
      <c r="C589" s="105"/>
      <c r="D589" s="106"/>
      <c r="E589" s="18">
        <v>20000</v>
      </c>
    </row>
    <row r="590" spans="2:5" ht="6" customHeight="1">
      <c r="B590" s="94" t="s">
        <v>18</v>
      </c>
      <c r="C590" s="95"/>
      <c r="D590" s="96"/>
      <c r="E590" s="107">
        <f>12*I580*1.41</f>
        <v>57507.696</v>
      </c>
    </row>
    <row r="591" spans="2:5" ht="6" customHeight="1">
      <c r="B591" s="97"/>
      <c r="C591" s="98"/>
      <c r="D591" s="99"/>
      <c r="E591" s="108"/>
    </row>
    <row r="592" spans="2:5" ht="6" customHeight="1">
      <c r="B592" s="94" t="s">
        <v>35</v>
      </c>
      <c r="C592" s="95"/>
      <c r="D592" s="96"/>
      <c r="E592" s="107">
        <f>12*I580*3.78</f>
        <v>154169.56800000003</v>
      </c>
    </row>
    <row r="593" spans="2:5" ht="6" customHeight="1">
      <c r="B593" s="97"/>
      <c r="C593" s="98"/>
      <c r="D593" s="99"/>
      <c r="E593" s="108"/>
    </row>
    <row r="594" spans="2:5" ht="12" customHeight="1">
      <c r="B594" s="89" t="s">
        <v>41</v>
      </c>
      <c r="C594" s="90"/>
      <c r="D594" s="91"/>
      <c r="E594" s="18">
        <f>12*I580*0.37</f>
        <v>15090.672000000002</v>
      </c>
    </row>
    <row r="595" spans="2:5" ht="12" customHeight="1">
      <c r="B595" s="89" t="s">
        <v>42</v>
      </c>
      <c r="C595" s="90"/>
      <c r="D595" s="91"/>
      <c r="E595" s="18">
        <f>H580*2*70%*2*137.35*0.38</f>
        <v>11545.091599999998</v>
      </c>
    </row>
    <row r="596" spans="2:5" ht="12" customHeight="1">
      <c r="B596" s="89" t="s">
        <v>43</v>
      </c>
      <c r="C596" s="90"/>
      <c r="D596" s="91"/>
      <c r="E596" s="18">
        <f>H580*70%*2*137.35*0.38</f>
        <v>5772.545799999999</v>
      </c>
    </row>
    <row r="597" spans="2:5" ht="12" customHeight="1">
      <c r="B597" s="74" t="s">
        <v>3</v>
      </c>
      <c r="C597" s="74"/>
      <c r="D597" s="74"/>
      <c r="E597" s="6">
        <f>68.68*10</f>
        <v>686.8000000000001</v>
      </c>
    </row>
    <row r="598" spans="2:5" ht="12" customHeight="1">
      <c r="B598" s="74" t="s">
        <v>4</v>
      </c>
      <c r="C598" s="74"/>
      <c r="D598" s="74"/>
      <c r="E598" s="6">
        <f>68.68*15</f>
        <v>1030.2</v>
      </c>
    </row>
    <row r="599" spans="2:5" ht="12" customHeight="1">
      <c r="B599" s="74" t="s">
        <v>5</v>
      </c>
      <c r="C599" s="74"/>
      <c r="D599" s="74"/>
      <c r="E599" s="6">
        <f>68.68*14</f>
        <v>961.5200000000001</v>
      </c>
    </row>
    <row r="600" spans="2:5" s="63" customFormat="1" ht="12" customHeight="1">
      <c r="B600" s="67" t="s">
        <v>173</v>
      </c>
      <c r="C600" s="78"/>
      <c r="D600" s="78"/>
      <c r="E600" s="14">
        <f>4*'[2]на июль 15г'!$J$1015</f>
        <v>3385.554100325078</v>
      </c>
    </row>
    <row r="601" spans="2:5" s="63" customFormat="1" ht="14.25" customHeight="1">
      <c r="B601" s="67" t="s">
        <v>153</v>
      </c>
      <c r="C601" s="67"/>
      <c r="D601" s="67"/>
      <c r="E601" s="14">
        <f>50.89*2</f>
        <v>101.78</v>
      </c>
    </row>
    <row r="602" spans="2:5" s="63" customFormat="1" ht="11.25" customHeight="1">
      <c r="B602" s="67" t="s">
        <v>128</v>
      </c>
      <c r="C602" s="67"/>
      <c r="D602" s="67"/>
      <c r="E602" s="14">
        <f>1*'[1]на июль 15г'!$J$277</f>
        <v>835.5001207362125</v>
      </c>
    </row>
    <row r="603" spans="2:5" s="63" customFormat="1" ht="12" customHeight="1">
      <c r="B603" s="67" t="s">
        <v>139</v>
      </c>
      <c r="C603" s="67"/>
      <c r="D603" s="67"/>
      <c r="E603" s="14">
        <f>2*'[1]на июль 15г'!$J$277</f>
        <v>1671.000241472425</v>
      </c>
    </row>
    <row r="604" spans="2:5" s="63" customFormat="1" ht="12.75" customHeight="1">
      <c r="B604" s="67" t="s">
        <v>89</v>
      </c>
      <c r="C604" s="67"/>
      <c r="D604" s="67"/>
      <c r="E604" s="12">
        <f>62*'[5]на июль 15г'!$J$1057</f>
        <v>7097.944809448938</v>
      </c>
    </row>
    <row r="605" spans="2:5" s="63" customFormat="1" ht="13.5" customHeight="1">
      <c r="B605" s="67" t="s">
        <v>154</v>
      </c>
      <c r="C605" s="67"/>
      <c r="D605" s="67"/>
      <c r="E605" s="12">
        <f>22*'[1]на июль 15г'!$J$198</f>
        <v>3619.1769734453583</v>
      </c>
    </row>
    <row r="606" spans="2:5" s="63" customFormat="1" ht="12" customHeight="1">
      <c r="B606" s="67" t="s">
        <v>62</v>
      </c>
      <c r="C606" s="67"/>
      <c r="D606" s="67"/>
      <c r="E606" s="14">
        <f>5*'[1]на июль 15г'!$J$323</f>
        <v>499.8774741255236</v>
      </c>
    </row>
    <row r="607" spans="2:5" s="63" customFormat="1" ht="12.75" customHeight="1">
      <c r="B607" s="67" t="s">
        <v>8</v>
      </c>
      <c r="C607" s="67"/>
      <c r="D607" s="67"/>
      <c r="E607" s="12">
        <f>11*'[1]на июль 15г'!$J$211</f>
        <v>633.7103468261813</v>
      </c>
    </row>
    <row r="608" spans="2:5" s="63" customFormat="1" ht="12.75" customHeight="1">
      <c r="B608" s="67" t="s">
        <v>125</v>
      </c>
      <c r="C608" s="67"/>
      <c r="D608" s="67"/>
      <c r="E608" s="12">
        <f>28*'[1]на июль 15г'!$J$211</f>
        <v>1613.0808828302797</v>
      </c>
    </row>
    <row r="609" spans="2:5" s="63" customFormat="1" ht="12" customHeight="1">
      <c r="B609" s="67" t="s">
        <v>7</v>
      </c>
      <c r="C609" s="67"/>
      <c r="D609" s="67"/>
      <c r="E609" s="14">
        <f>4*'[1]на июль 15г'!$J$264</f>
        <v>283.5772870495433</v>
      </c>
    </row>
    <row r="610" spans="2:5" s="3" customFormat="1" ht="12" customHeight="1">
      <c r="B610" s="67" t="s">
        <v>134</v>
      </c>
      <c r="C610" s="67"/>
      <c r="D610" s="67"/>
      <c r="E610" s="11">
        <v>17357.09</v>
      </c>
    </row>
    <row r="611" spans="2:5" s="24" customFormat="1" ht="15">
      <c r="B611" s="67" t="s">
        <v>11</v>
      </c>
      <c r="C611" s="67"/>
      <c r="D611" s="67"/>
      <c r="E611" s="11">
        <f>2201.44+550.57+2500</f>
        <v>5252.01</v>
      </c>
    </row>
    <row r="612" spans="2:5" ht="14.25" customHeight="1">
      <c r="B612" s="67" t="s">
        <v>21</v>
      </c>
      <c r="C612" s="67"/>
      <c r="D612" s="67"/>
      <c r="E612" s="11">
        <v>478.94</v>
      </c>
    </row>
    <row r="613" spans="2:5" s="57" customFormat="1" ht="12" customHeight="1">
      <c r="B613" s="67" t="s">
        <v>163</v>
      </c>
      <c r="C613" s="67"/>
      <c r="D613" s="67"/>
      <c r="E613" s="11">
        <v>2000</v>
      </c>
    </row>
    <row r="614" spans="2:5" ht="12" customHeight="1">
      <c r="B614" s="67" t="s">
        <v>176</v>
      </c>
      <c r="C614" s="67"/>
      <c r="D614" s="67"/>
      <c r="E614" s="12">
        <f>874.07+1610</f>
        <v>2484.07</v>
      </c>
    </row>
    <row r="615" ht="15">
      <c r="E615" s="39">
        <f>SUM(E580:E614)</f>
        <v>662606.1185882594</v>
      </c>
    </row>
    <row r="616" spans="3:5" ht="12" customHeight="1">
      <c r="C616" s="40" t="s">
        <v>72</v>
      </c>
      <c r="D616" s="112">
        <f>'[3]Лист1'!$B$51</f>
        <v>658742.73</v>
      </c>
      <c r="E616" s="112"/>
    </row>
    <row r="617" spans="3:5" ht="12" customHeight="1">
      <c r="C617" s="40" t="s">
        <v>9</v>
      </c>
      <c r="D617" s="102">
        <f>'[3]Лист1'!$C$51</f>
        <v>651528.7700000001</v>
      </c>
      <c r="E617" s="102"/>
    </row>
    <row r="618" spans="3:5" ht="12" customHeight="1">
      <c r="C618" s="40" t="s">
        <v>106</v>
      </c>
      <c r="D618" s="49"/>
      <c r="E618" s="52">
        <f>E615</f>
        <v>662606.1185882594</v>
      </c>
    </row>
    <row r="619" spans="3:5" ht="270" customHeight="1">
      <c r="C619" s="40"/>
      <c r="D619" s="45"/>
      <c r="E619" s="9"/>
    </row>
    <row r="620" spans="1:7" ht="24" customHeight="1">
      <c r="A620" s="109" t="s">
        <v>79</v>
      </c>
      <c r="B620" s="109"/>
      <c r="C620" s="109"/>
      <c r="D620" s="109"/>
      <c r="E620" s="109"/>
      <c r="F620" s="109"/>
      <c r="G620" s="109"/>
    </row>
    <row r="621" spans="2:5" ht="12" customHeight="1">
      <c r="B621" s="88" t="s">
        <v>0</v>
      </c>
      <c r="C621" s="88"/>
      <c r="D621" s="88"/>
      <c r="E621" s="7"/>
    </row>
    <row r="622" spans="2:12" ht="21" customHeight="1">
      <c r="B622" s="83" t="s">
        <v>1</v>
      </c>
      <c r="C622" s="84"/>
      <c r="D622" s="84"/>
      <c r="E622" s="43" t="s">
        <v>112</v>
      </c>
      <c r="H622" s="125" t="s">
        <v>108</v>
      </c>
      <c r="I622" s="125"/>
      <c r="J622" s="125"/>
      <c r="K622" s="125"/>
      <c r="L622" s="125"/>
    </row>
    <row r="623" spans="2:12" ht="15" customHeight="1" thickBot="1">
      <c r="B623" s="85" t="s">
        <v>60</v>
      </c>
      <c r="C623" s="86"/>
      <c r="D623" s="86"/>
      <c r="E623" s="86"/>
      <c r="H623" s="8" t="s">
        <v>26</v>
      </c>
      <c r="I623" s="8" t="s">
        <v>109</v>
      </c>
      <c r="J623" s="8" t="s">
        <v>47</v>
      </c>
      <c r="K623" s="8" t="s">
        <v>110</v>
      </c>
      <c r="L623" s="8" t="s">
        <v>111</v>
      </c>
    </row>
    <row r="624" spans="2:12" ht="23.25" customHeight="1" thickBot="1">
      <c r="B624" s="80" t="s">
        <v>40</v>
      </c>
      <c r="C624" s="81"/>
      <c r="D624" s="82"/>
      <c r="E624" s="18">
        <f>2.05*J624*12+J624*2*2.05+2.05*4*J624</f>
        <v>32479.379999999997</v>
      </c>
      <c r="H624" s="1">
        <v>60</v>
      </c>
      <c r="I624" s="1">
        <v>2550.9</v>
      </c>
      <c r="J624" s="1">
        <v>880.2</v>
      </c>
      <c r="K624" s="1">
        <f>J624</f>
        <v>880.2</v>
      </c>
      <c r="L624" s="2">
        <v>56</v>
      </c>
    </row>
    <row r="625" spans="2:5" ht="36" customHeight="1">
      <c r="B625" s="80" t="s">
        <v>31</v>
      </c>
      <c r="C625" s="81"/>
      <c r="D625" s="82"/>
      <c r="E625" s="18">
        <f>(I624*2.05*2)</f>
        <v>10458.689999999999</v>
      </c>
    </row>
    <row r="626" spans="2:5" ht="12" customHeight="1">
      <c r="B626" s="80" t="s">
        <v>32</v>
      </c>
      <c r="C626" s="81"/>
      <c r="D626" s="82"/>
      <c r="E626" s="18">
        <f>I624*2.05*2</f>
        <v>10458.689999999999</v>
      </c>
    </row>
    <row r="627" spans="2:5" ht="12" customHeight="1" hidden="1">
      <c r="B627" s="80" t="s">
        <v>33</v>
      </c>
      <c r="C627" s="81"/>
      <c r="D627" s="82"/>
      <c r="E627" s="18"/>
    </row>
    <row r="628" spans="2:5" ht="23.25" customHeight="1">
      <c r="B628" s="80" t="s">
        <v>34</v>
      </c>
      <c r="C628" s="81"/>
      <c r="D628" s="82"/>
      <c r="E628" s="18">
        <f>(3*121.53*2*I624/1000)*3</f>
        <v>5580.195786000001</v>
      </c>
    </row>
    <row r="629" spans="2:5" ht="12" customHeight="1">
      <c r="B629" s="80" t="s">
        <v>14</v>
      </c>
      <c r="C629" s="81"/>
      <c r="D629" s="82"/>
      <c r="E629" s="18">
        <f>12*I624*0.83</f>
        <v>25406.964</v>
      </c>
    </row>
    <row r="630" spans="2:5" ht="12" customHeight="1">
      <c r="B630" s="80" t="s">
        <v>16</v>
      </c>
      <c r="C630" s="81"/>
      <c r="D630" s="82"/>
      <c r="E630" s="18">
        <f>12*I624*6.05</f>
        <v>185195.34000000003</v>
      </c>
    </row>
    <row r="631" spans="2:5" ht="12" customHeight="1">
      <c r="B631" s="80" t="s">
        <v>17</v>
      </c>
      <c r="C631" s="81"/>
      <c r="D631" s="82"/>
      <c r="E631" s="18">
        <f>1*L624*286.7</f>
        <v>16055.199999999999</v>
      </c>
    </row>
    <row r="632" spans="2:5" ht="12" customHeight="1">
      <c r="B632" s="80" t="s">
        <v>15</v>
      </c>
      <c r="C632" s="81"/>
      <c r="D632" s="82"/>
      <c r="E632" s="18">
        <f>12*I624*0.54</f>
        <v>16529.832000000002</v>
      </c>
    </row>
    <row r="633" spans="2:5" ht="12" customHeight="1">
      <c r="B633" s="104" t="s">
        <v>19</v>
      </c>
      <c r="C633" s="105"/>
      <c r="D633" s="106"/>
      <c r="E633" s="18">
        <v>15000</v>
      </c>
    </row>
    <row r="634" spans="2:5" ht="6" customHeight="1">
      <c r="B634" s="94" t="s">
        <v>18</v>
      </c>
      <c r="C634" s="95"/>
      <c r="D634" s="96"/>
      <c r="E634" s="107">
        <f>12*I624*0.82</f>
        <v>25100.856</v>
      </c>
    </row>
    <row r="635" spans="2:5" ht="6" customHeight="1">
      <c r="B635" s="97"/>
      <c r="C635" s="98"/>
      <c r="D635" s="99"/>
      <c r="E635" s="108"/>
    </row>
    <row r="636" spans="2:5" ht="6" customHeight="1">
      <c r="B636" s="94" t="s">
        <v>35</v>
      </c>
      <c r="C636" s="95"/>
      <c r="D636" s="96"/>
      <c r="E636" s="107">
        <f>12*I624*1.63</f>
        <v>49895.604</v>
      </c>
    </row>
    <row r="637" spans="2:5" ht="6" customHeight="1">
      <c r="B637" s="97"/>
      <c r="C637" s="98"/>
      <c r="D637" s="99"/>
      <c r="E637" s="108"/>
    </row>
    <row r="638" spans="2:5" ht="12" customHeight="1">
      <c r="B638" s="89" t="s">
        <v>41</v>
      </c>
      <c r="C638" s="90"/>
      <c r="D638" s="91"/>
      <c r="E638" s="18">
        <f>12*I624*0.37</f>
        <v>11325.996000000001</v>
      </c>
    </row>
    <row r="639" spans="2:5" ht="12" customHeight="1">
      <c r="B639" s="74" t="s">
        <v>42</v>
      </c>
      <c r="C639" s="74"/>
      <c r="D639" s="74"/>
      <c r="E639" s="18">
        <f>H624*2*70%*2*137.35*0.38</f>
        <v>8768.423999999999</v>
      </c>
    </row>
    <row r="640" spans="2:5" ht="12" customHeight="1">
      <c r="B640" s="74" t="s">
        <v>43</v>
      </c>
      <c r="C640" s="74"/>
      <c r="D640" s="74"/>
      <c r="E640" s="18">
        <f>H624*70%*2*137.35*0.38</f>
        <v>4384.2119999999995</v>
      </c>
    </row>
    <row r="641" spans="2:5" ht="12" customHeight="1">
      <c r="B641" s="74" t="s">
        <v>44</v>
      </c>
      <c r="C641" s="74"/>
      <c r="D641" s="74"/>
      <c r="E641" s="6">
        <f>68.68*10</f>
        <v>686.8000000000001</v>
      </c>
    </row>
    <row r="642" spans="2:5" ht="12" customHeight="1">
      <c r="B642" s="74" t="s">
        <v>4</v>
      </c>
      <c r="C642" s="74"/>
      <c r="D642" s="74"/>
      <c r="E642" s="6">
        <f>68.68*28</f>
        <v>1923.0400000000002</v>
      </c>
    </row>
    <row r="643" spans="2:5" ht="12.75" customHeight="1">
      <c r="B643" s="74" t="s">
        <v>45</v>
      </c>
      <c r="C643" s="74"/>
      <c r="D643" s="74"/>
      <c r="E643" s="6">
        <f>68.68*11</f>
        <v>755.48</v>
      </c>
    </row>
    <row r="644" spans="2:5" s="63" customFormat="1" ht="12" customHeight="1">
      <c r="B644" s="67" t="s">
        <v>92</v>
      </c>
      <c r="C644" s="67"/>
      <c r="D644" s="67"/>
      <c r="E644" s="11">
        <f>112.6*23</f>
        <v>2589.7999999999997</v>
      </c>
    </row>
    <row r="645" spans="2:5" s="63" customFormat="1" ht="12" customHeight="1">
      <c r="B645" s="113" t="s">
        <v>69</v>
      </c>
      <c r="C645" s="113"/>
      <c r="D645" s="113"/>
      <c r="E645" s="14">
        <f>'[2]на июль 15г'!$J$974*2+3*'[1]на июль 15г'!$J$290</f>
        <v>3171.4879892737526</v>
      </c>
    </row>
    <row r="646" spans="2:5" s="63" customFormat="1" ht="14.25" customHeight="1">
      <c r="B646" s="67" t="s">
        <v>153</v>
      </c>
      <c r="C646" s="67"/>
      <c r="D646" s="67"/>
      <c r="E646" s="14">
        <f>50.89*10</f>
        <v>508.9</v>
      </c>
    </row>
    <row r="647" spans="2:5" s="63" customFormat="1" ht="12" customHeight="1">
      <c r="B647" s="67" t="s">
        <v>173</v>
      </c>
      <c r="C647" s="67"/>
      <c r="D647" s="67"/>
      <c r="E647" s="14">
        <f>'[2]на июль 15г'!$J$333*3</f>
        <v>2867.0285798465493</v>
      </c>
    </row>
    <row r="648" spans="2:5" s="63" customFormat="1" ht="11.25" customHeight="1">
      <c r="B648" s="67" t="s">
        <v>128</v>
      </c>
      <c r="C648" s="67"/>
      <c r="D648" s="67"/>
      <c r="E648" s="14">
        <f>1*'[1]на июль 15г'!$J$277</f>
        <v>835.5001207362125</v>
      </c>
    </row>
    <row r="649" spans="2:5" s="63" customFormat="1" ht="12" customHeight="1">
      <c r="B649" s="67" t="s">
        <v>155</v>
      </c>
      <c r="C649" s="67"/>
      <c r="D649" s="67"/>
      <c r="E649" s="14">
        <f>1*'[2]на июль 15г'!$J$960</f>
        <v>1535.2004130751782</v>
      </c>
    </row>
    <row r="650" spans="2:5" s="63" customFormat="1" ht="12" customHeight="1">
      <c r="B650" s="67" t="s">
        <v>62</v>
      </c>
      <c r="C650" s="67"/>
      <c r="D650" s="67"/>
      <c r="E650" s="14">
        <f>1*'[1]на июль 15г'!$J$323</f>
        <v>99.97549482510472</v>
      </c>
    </row>
    <row r="651" spans="2:5" s="63" customFormat="1" ht="12.75" customHeight="1">
      <c r="B651" s="67" t="s">
        <v>89</v>
      </c>
      <c r="C651" s="67"/>
      <c r="D651" s="67"/>
      <c r="E651" s="12">
        <f>84*'[5]на июль 15г'!$J$1057</f>
        <v>9616.570386995336</v>
      </c>
    </row>
    <row r="652" spans="2:5" s="63" customFormat="1" ht="14.25" customHeight="1">
      <c r="B652" s="67" t="s">
        <v>154</v>
      </c>
      <c r="C652" s="67"/>
      <c r="D652" s="67"/>
      <c r="E652" s="12">
        <f>2*'[1]на июль 15г'!$J$198</f>
        <v>329.0160884950326</v>
      </c>
    </row>
    <row r="653" spans="2:5" s="63" customFormat="1" ht="12" customHeight="1">
      <c r="B653" s="67" t="s">
        <v>90</v>
      </c>
      <c r="C653" s="67"/>
      <c r="D653" s="67"/>
      <c r="E653" s="14">
        <f>2*'[2]на июль 15г'!$J$224</f>
        <v>3102.4548754457614</v>
      </c>
    </row>
    <row r="654" spans="2:5" s="63" customFormat="1" ht="14.25" customHeight="1">
      <c r="B654" s="67" t="s">
        <v>125</v>
      </c>
      <c r="C654" s="67"/>
      <c r="D654" s="67"/>
      <c r="E654" s="12">
        <f>14*'[1]на июль 15г'!$J$211</f>
        <v>806.5404414151399</v>
      </c>
    </row>
    <row r="655" spans="2:5" s="63" customFormat="1" ht="12" customHeight="1">
      <c r="B655" s="67" t="s">
        <v>145</v>
      </c>
      <c r="C655" s="67"/>
      <c r="D655" s="67"/>
      <c r="E655" s="14">
        <f>1*'[2]на июль 15г'!$J$988</f>
        <v>752.970178486447</v>
      </c>
    </row>
    <row r="656" spans="2:5" s="63" customFormat="1" ht="12" customHeight="1">
      <c r="B656" s="67" t="s">
        <v>8</v>
      </c>
      <c r="C656" s="67"/>
      <c r="D656" s="67"/>
      <c r="E656" s="12">
        <f>23*'[1]на июль 15г'!$J$211</f>
        <v>1325.0307251820157</v>
      </c>
    </row>
    <row r="657" spans="2:5" s="63" customFormat="1" ht="12" customHeight="1">
      <c r="B657" s="67" t="s">
        <v>7</v>
      </c>
      <c r="C657" s="67"/>
      <c r="D657" s="67"/>
      <c r="E657" s="14">
        <f>6*'[1]на июль 15г'!$J$264</f>
        <v>425.365930574315</v>
      </c>
    </row>
    <row r="658" spans="2:5" s="3" customFormat="1" ht="12" customHeight="1">
      <c r="B658" s="67" t="s">
        <v>135</v>
      </c>
      <c r="C658" s="67"/>
      <c r="D658" s="67"/>
      <c r="E658" s="11">
        <v>81300.84</v>
      </c>
    </row>
    <row r="659" spans="2:5" ht="12" customHeight="1">
      <c r="B659" s="67" t="s">
        <v>22</v>
      </c>
      <c r="C659" s="67"/>
      <c r="D659" s="67"/>
      <c r="E659" s="14">
        <f>6*'[1]на июль 15г'!$J$434</f>
        <v>3674.183533585654</v>
      </c>
    </row>
    <row r="660" spans="2:5" ht="12" customHeight="1">
      <c r="B660" s="67" t="s">
        <v>12</v>
      </c>
      <c r="C660" s="67"/>
      <c r="D660" s="67"/>
      <c r="E660" s="14">
        <f>9*'[1]на июль 15г'!$J$444</f>
        <v>6161.542393342491</v>
      </c>
    </row>
    <row r="661" spans="2:5" ht="12" customHeight="1">
      <c r="B661" s="67" t="s">
        <v>64</v>
      </c>
      <c r="C661" s="67"/>
      <c r="D661" s="67"/>
      <c r="E661" s="12">
        <f>'[1]на июль 15г'!$J$514</f>
        <v>2278.2758957955502</v>
      </c>
    </row>
    <row r="662" spans="2:5" ht="12" customHeight="1">
      <c r="B662" s="67" t="s">
        <v>65</v>
      </c>
      <c r="C662" s="67"/>
      <c r="D662" s="67"/>
      <c r="E662" s="14">
        <f>4*2*'[1]на июль 15г'!$J$677</f>
        <v>6292.904754443673</v>
      </c>
    </row>
    <row r="663" spans="2:5" ht="12" customHeight="1">
      <c r="B663" s="67" t="s">
        <v>66</v>
      </c>
      <c r="C663" s="67"/>
      <c r="D663" s="67"/>
      <c r="E663" s="14">
        <f>2*('[1]на июль 15г'!$J$677+'[1]на июль 15г'!$J$688)</f>
        <v>3526.788537221836</v>
      </c>
    </row>
    <row r="664" spans="2:5" ht="12" customHeight="1">
      <c r="B664" s="72" t="s">
        <v>2</v>
      </c>
      <c r="C664" s="73"/>
      <c r="D664" s="73"/>
      <c r="E664" s="14">
        <f>1*'[1]на июль 15г'!$J$915</f>
        <v>467.02159089779934</v>
      </c>
    </row>
    <row r="665" spans="2:5" s="24" customFormat="1" ht="15">
      <c r="B665" s="67" t="s">
        <v>11</v>
      </c>
      <c r="C665" s="67"/>
      <c r="D665" s="67"/>
      <c r="E665" s="11">
        <f>2201.44+550.57+10000+1000+2000</f>
        <v>15752.01</v>
      </c>
    </row>
    <row r="666" spans="2:5" ht="12" customHeight="1">
      <c r="B666" s="67" t="s">
        <v>93</v>
      </c>
      <c r="C666" s="67"/>
      <c r="D666" s="67"/>
      <c r="E666" s="11">
        <f>1984.54+9920.65</f>
        <v>11905.189999999999</v>
      </c>
    </row>
    <row r="667" spans="2:5" ht="12.75" customHeight="1">
      <c r="B667" s="67" t="s">
        <v>73</v>
      </c>
      <c r="C667" s="78"/>
      <c r="D667" s="78"/>
      <c r="E667" s="11">
        <f>6456.52</f>
        <v>6456.52</v>
      </c>
    </row>
    <row r="668" spans="2:5" s="57" customFormat="1" ht="12" customHeight="1">
      <c r="B668" s="67" t="s">
        <v>163</v>
      </c>
      <c r="C668" s="67"/>
      <c r="D668" s="67"/>
      <c r="E668" s="11">
        <v>2000</v>
      </c>
    </row>
    <row r="669" spans="2:5" ht="12" customHeight="1">
      <c r="B669" s="67" t="s">
        <v>101</v>
      </c>
      <c r="C669" s="67"/>
      <c r="D669" s="67"/>
      <c r="E669" s="11">
        <v>5788</v>
      </c>
    </row>
    <row r="670" ht="15">
      <c r="E670" s="39">
        <f>SUM(E624:E669)</f>
        <v>593573.8217156377</v>
      </c>
    </row>
    <row r="671" spans="3:5" ht="12" customHeight="1">
      <c r="C671" s="40" t="s">
        <v>72</v>
      </c>
      <c r="D671" s="112">
        <f>'[3]Лист1'!$B$52</f>
        <v>494404.02999999997</v>
      </c>
      <c r="E671" s="112"/>
    </row>
    <row r="672" spans="3:5" ht="12" customHeight="1">
      <c r="C672" s="40" t="s">
        <v>9</v>
      </c>
      <c r="D672" s="102">
        <f>'[3]Лист1'!$C$52</f>
        <v>480870.92</v>
      </c>
      <c r="E672" s="102"/>
    </row>
    <row r="673" spans="3:5" ht="12" customHeight="1">
      <c r="C673" s="40" t="s">
        <v>106</v>
      </c>
      <c r="D673" s="49"/>
      <c r="E673" s="35">
        <f>E670</f>
        <v>593573.8217156377</v>
      </c>
    </row>
    <row r="674" spans="3:5" ht="238.5" customHeight="1">
      <c r="C674" s="40"/>
      <c r="D674" s="45"/>
      <c r="E674" s="53"/>
    </row>
  </sheetData>
  <sheetProtection/>
  <mergeCells count="650">
    <mergeCell ref="B547:D547"/>
    <mergeCell ref="B550:D550"/>
    <mergeCell ref="B558:D558"/>
    <mergeCell ref="B552:D552"/>
    <mergeCell ref="B31:D31"/>
    <mergeCell ref="B29:D29"/>
    <mergeCell ref="B265:D265"/>
    <mergeCell ref="B486:D486"/>
    <mergeCell ref="B487:D487"/>
    <mergeCell ref="B433:D433"/>
    <mergeCell ref="B509:D509"/>
    <mergeCell ref="B489:D489"/>
    <mergeCell ref="B490:D490"/>
    <mergeCell ref="B491:D491"/>
    <mergeCell ref="B507:D507"/>
    <mergeCell ref="D456:E456"/>
    <mergeCell ref="B470:D470"/>
    <mergeCell ref="B468:D468"/>
    <mergeCell ref="A460:G460"/>
    <mergeCell ref="B478:D478"/>
    <mergeCell ref="B259:D259"/>
    <mergeCell ref="B266:D266"/>
    <mergeCell ref="B321:D321"/>
    <mergeCell ref="B323:D323"/>
    <mergeCell ref="B376:D376"/>
    <mergeCell ref="B369:D369"/>
    <mergeCell ref="B366:D366"/>
    <mergeCell ref="B371:D371"/>
    <mergeCell ref="B278:D278"/>
    <mergeCell ref="B281:D281"/>
    <mergeCell ref="B151:D151"/>
    <mergeCell ref="B212:D212"/>
    <mergeCell ref="B205:D205"/>
    <mergeCell ref="B203:D203"/>
    <mergeCell ref="B194:D194"/>
    <mergeCell ref="B210:D210"/>
    <mergeCell ref="B209:D209"/>
    <mergeCell ref="B184:D184"/>
    <mergeCell ref="B185:D185"/>
    <mergeCell ref="B186:D186"/>
    <mergeCell ref="A576:G576"/>
    <mergeCell ref="B567:D567"/>
    <mergeCell ref="B559:D559"/>
    <mergeCell ref="B76:D76"/>
    <mergeCell ref="B131:D131"/>
    <mergeCell ref="B407:D407"/>
    <mergeCell ref="B445:D445"/>
    <mergeCell ref="B435:D435"/>
    <mergeCell ref="B501:D501"/>
    <mergeCell ref="B461:D461"/>
    <mergeCell ref="B36:D36"/>
    <mergeCell ref="B344:E344"/>
    <mergeCell ref="H622:L622"/>
    <mergeCell ref="H578:L578"/>
    <mergeCell ref="B557:D557"/>
    <mergeCell ref="D572:E572"/>
    <mergeCell ref="B565:D565"/>
    <mergeCell ref="H343:L343"/>
    <mergeCell ref="B493:D493"/>
    <mergeCell ref="B506:D506"/>
    <mergeCell ref="H522:L522"/>
    <mergeCell ref="B392:D392"/>
    <mergeCell ref="B410:D410"/>
    <mergeCell ref="B411:D411"/>
    <mergeCell ref="B403:D403"/>
    <mergeCell ref="H462:L462"/>
    <mergeCell ref="B424:D424"/>
    <mergeCell ref="B513:D513"/>
    <mergeCell ref="B451:D451"/>
    <mergeCell ref="B510:D510"/>
    <mergeCell ref="B272:D272"/>
    <mergeCell ref="B273:D273"/>
    <mergeCell ref="H403:L403"/>
    <mergeCell ref="B200:D200"/>
    <mergeCell ref="B208:D208"/>
    <mergeCell ref="B269:D269"/>
    <mergeCell ref="B381:D381"/>
    <mergeCell ref="B215:D215"/>
    <mergeCell ref="B218:D218"/>
    <mergeCell ref="B262:D262"/>
    <mergeCell ref="B217:D217"/>
    <mergeCell ref="B159:D159"/>
    <mergeCell ref="B160:D160"/>
    <mergeCell ref="B176:D176"/>
    <mergeCell ref="B177:D177"/>
    <mergeCell ref="B216:D216"/>
    <mergeCell ref="B551:D551"/>
    <mergeCell ref="B440:D440"/>
    <mergeCell ref="B351:D351"/>
    <mergeCell ref="B357:D358"/>
    <mergeCell ref="B355:D356"/>
    <mergeCell ref="B504:D504"/>
    <mergeCell ref="B426:D426"/>
    <mergeCell ref="B472:D472"/>
    <mergeCell ref="B417:D418"/>
    <mergeCell ref="B448:D448"/>
    <mergeCell ref="B404:E404"/>
    <mergeCell ref="B380:D380"/>
    <mergeCell ref="B409:D409"/>
    <mergeCell ref="B346:D346"/>
    <mergeCell ref="B360:D360"/>
    <mergeCell ref="B389:D389"/>
    <mergeCell ref="B155:D155"/>
    <mergeCell ref="B317:D317"/>
    <mergeCell ref="B342:D342"/>
    <mergeCell ref="B214:D214"/>
    <mergeCell ref="B156:D156"/>
    <mergeCell ref="B157:D157"/>
    <mergeCell ref="B162:D162"/>
    <mergeCell ref="B182:D182"/>
    <mergeCell ref="B183:D183"/>
    <mergeCell ref="B284:D284"/>
    <mergeCell ref="B141:D141"/>
    <mergeCell ref="B138:D138"/>
    <mergeCell ref="B150:D150"/>
    <mergeCell ref="B90:D90"/>
    <mergeCell ref="B148:D148"/>
    <mergeCell ref="B45:D45"/>
    <mergeCell ref="B145:D145"/>
    <mergeCell ref="B147:D147"/>
    <mergeCell ref="B143:D143"/>
    <mergeCell ref="B146:D146"/>
    <mergeCell ref="A1:G1"/>
    <mergeCell ref="B2:D2"/>
    <mergeCell ref="B3:D3"/>
    <mergeCell ref="B4:E4"/>
    <mergeCell ref="B5:D5"/>
    <mergeCell ref="B11:D11"/>
    <mergeCell ref="B6:D6"/>
    <mergeCell ref="B7:D7"/>
    <mergeCell ref="B8:D8"/>
    <mergeCell ref="B9:D9"/>
    <mergeCell ref="B10:D10"/>
    <mergeCell ref="B15:D16"/>
    <mergeCell ref="B30:D30"/>
    <mergeCell ref="B21:D21"/>
    <mergeCell ref="B52:D52"/>
    <mergeCell ref="B35:D35"/>
    <mergeCell ref="B42:D42"/>
    <mergeCell ref="B22:D22"/>
    <mergeCell ref="B23:D23"/>
    <mergeCell ref="B26:D26"/>
    <mergeCell ref="E15:E16"/>
    <mergeCell ref="B17:D18"/>
    <mergeCell ref="E17:E18"/>
    <mergeCell ref="B19:D19"/>
    <mergeCell ref="B12:D12"/>
    <mergeCell ref="B13:D13"/>
    <mergeCell ref="B14:D14"/>
    <mergeCell ref="B38:D38"/>
    <mergeCell ref="B39:D39"/>
    <mergeCell ref="B20:D20"/>
    <mergeCell ref="B25:D25"/>
    <mergeCell ref="B28:D28"/>
    <mergeCell ref="B32:D32"/>
    <mergeCell ref="B24:D24"/>
    <mergeCell ref="B34:D34"/>
    <mergeCell ref="B33:D33"/>
    <mergeCell ref="B27:D27"/>
    <mergeCell ref="D54:E54"/>
    <mergeCell ref="D55:E55"/>
    <mergeCell ref="B47:D47"/>
    <mergeCell ref="B48:D48"/>
    <mergeCell ref="B49:D49"/>
    <mergeCell ref="B37:D37"/>
    <mergeCell ref="B40:D40"/>
    <mergeCell ref="B50:D50"/>
    <mergeCell ref="B41:D41"/>
    <mergeCell ref="B43:D43"/>
    <mergeCell ref="B68:D68"/>
    <mergeCell ref="A58:G58"/>
    <mergeCell ref="B59:D59"/>
    <mergeCell ref="B60:D60"/>
    <mergeCell ref="B61:E61"/>
    <mergeCell ref="B62:D62"/>
    <mergeCell ref="E72:E73"/>
    <mergeCell ref="B74:D75"/>
    <mergeCell ref="E74:E75"/>
    <mergeCell ref="B91:D91"/>
    <mergeCell ref="B92:D92"/>
    <mergeCell ref="B63:D63"/>
    <mergeCell ref="B64:D64"/>
    <mergeCell ref="B65:D65"/>
    <mergeCell ref="B66:D66"/>
    <mergeCell ref="B67:D67"/>
    <mergeCell ref="B69:D69"/>
    <mergeCell ref="B70:D70"/>
    <mergeCell ref="B71:D71"/>
    <mergeCell ref="B72:D73"/>
    <mergeCell ref="B95:D95"/>
    <mergeCell ref="B83:D83"/>
    <mergeCell ref="B85:D85"/>
    <mergeCell ref="B77:D77"/>
    <mergeCell ref="B78:D78"/>
    <mergeCell ref="B79:D79"/>
    <mergeCell ref="B80:D80"/>
    <mergeCell ref="B86:D86"/>
    <mergeCell ref="B89:D89"/>
    <mergeCell ref="B88:D88"/>
    <mergeCell ref="B84:D84"/>
    <mergeCell ref="B102:D102"/>
    <mergeCell ref="B104:D104"/>
    <mergeCell ref="B98:D98"/>
    <mergeCell ref="B105:D105"/>
    <mergeCell ref="B103:D103"/>
    <mergeCell ref="B93:D93"/>
    <mergeCell ref="B94:D94"/>
    <mergeCell ref="B97:D97"/>
    <mergeCell ref="B107:D107"/>
    <mergeCell ref="B99:D99"/>
    <mergeCell ref="D109:E109"/>
    <mergeCell ref="B44:D44"/>
    <mergeCell ref="B46:D46"/>
    <mergeCell ref="B87:D87"/>
    <mergeCell ref="B81:D81"/>
    <mergeCell ref="B82:D82"/>
    <mergeCell ref="B106:D106"/>
    <mergeCell ref="B100:D100"/>
    <mergeCell ref="B117:D117"/>
    <mergeCell ref="B118:D118"/>
    <mergeCell ref="D110:E110"/>
    <mergeCell ref="B119:D119"/>
    <mergeCell ref="B120:D120"/>
    <mergeCell ref="B121:D121"/>
    <mergeCell ref="B114:D114"/>
    <mergeCell ref="B115:D115"/>
    <mergeCell ref="B116:E116"/>
    <mergeCell ref="A113:G113"/>
    <mergeCell ref="B122:D122"/>
    <mergeCell ref="B123:D123"/>
    <mergeCell ref="B124:D124"/>
    <mergeCell ref="B125:D125"/>
    <mergeCell ref="B126:D126"/>
    <mergeCell ref="B127:D128"/>
    <mergeCell ref="E127:E128"/>
    <mergeCell ref="B129:D130"/>
    <mergeCell ref="E129:E130"/>
    <mergeCell ref="D172:E172"/>
    <mergeCell ref="B132:D132"/>
    <mergeCell ref="B133:D133"/>
    <mergeCell ref="B134:D134"/>
    <mergeCell ref="B140:D140"/>
    <mergeCell ref="B135:D135"/>
    <mergeCell ref="B136:D136"/>
    <mergeCell ref="B137:D137"/>
    <mergeCell ref="B139:D139"/>
    <mergeCell ref="B158:D158"/>
    <mergeCell ref="B164:D164"/>
    <mergeCell ref="B165:D165"/>
    <mergeCell ref="D171:E171"/>
    <mergeCell ref="B166:D166"/>
    <mergeCell ref="B168:D168"/>
    <mergeCell ref="B161:D161"/>
    <mergeCell ref="B169:D169"/>
    <mergeCell ref="B178:E178"/>
    <mergeCell ref="B179:D179"/>
    <mergeCell ref="B180:D180"/>
    <mergeCell ref="B211:D211"/>
    <mergeCell ref="B242:D242"/>
    <mergeCell ref="B187:D187"/>
    <mergeCell ref="B188:D188"/>
    <mergeCell ref="B189:D190"/>
    <mergeCell ref="B233:D233"/>
    <mergeCell ref="B234:D234"/>
    <mergeCell ref="E189:E190"/>
    <mergeCell ref="B236:D236"/>
    <mergeCell ref="B258:D258"/>
    <mergeCell ref="B312:D312"/>
    <mergeCell ref="E357:E358"/>
    <mergeCell ref="B243:D243"/>
    <mergeCell ref="B193:D193"/>
    <mergeCell ref="B195:D195"/>
    <mergeCell ref="B196:D196"/>
    <mergeCell ref="B345:D345"/>
    <mergeCell ref="B197:D197"/>
    <mergeCell ref="B198:D198"/>
    <mergeCell ref="E306:E307"/>
    <mergeCell ref="E304:E305"/>
    <mergeCell ref="B347:D347"/>
    <mergeCell ref="B199:D199"/>
    <mergeCell ref="B239:D239"/>
    <mergeCell ref="B220:D220"/>
    <mergeCell ref="B222:D222"/>
    <mergeCell ref="D228:E228"/>
    <mergeCell ref="D229:E229"/>
    <mergeCell ref="B226:D226"/>
    <mergeCell ref="A232:G232"/>
    <mergeCell ref="B237:D237"/>
    <mergeCell ref="B238:D238"/>
    <mergeCell ref="B240:D240"/>
    <mergeCell ref="B235:E235"/>
    <mergeCell ref="B241:D241"/>
    <mergeCell ref="E246:E247"/>
    <mergeCell ref="B244:D244"/>
    <mergeCell ref="B245:D245"/>
    <mergeCell ref="B246:D247"/>
    <mergeCell ref="B253:D253"/>
    <mergeCell ref="B254:D254"/>
    <mergeCell ref="B248:D249"/>
    <mergeCell ref="E248:E249"/>
    <mergeCell ref="B250:D250"/>
    <mergeCell ref="B251:D251"/>
    <mergeCell ref="B255:D255"/>
    <mergeCell ref="B261:D261"/>
    <mergeCell ref="B275:D275"/>
    <mergeCell ref="B252:D252"/>
    <mergeCell ref="B256:D256"/>
    <mergeCell ref="B257:D257"/>
    <mergeCell ref="B260:D260"/>
    <mergeCell ref="B263:D263"/>
    <mergeCell ref="B271:D271"/>
    <mergeCell ref="B270:D270"/>
    <mergeCell ref="B264:D264"/>
    <mergeCell ref="B291:D291"/>
    <mergeCell ref="B293:E293"/>
    <mergeCell ref="B277:D277"/>
    <mergeCell ref="B282:D282"/>
    <mergeCell ref="B274:D274"/>
    <mergeCell ref="B283:D283"/>
    <mergeCell ref="B267:D267"/>
    <mergeCell ref="B268:D268"/>
    <mergeCell ref="D287:E287"/>
    <mergeCell ref="B297:D297"/>
    <mergeCell ref="B276:D276"/>
    <mergeCell ref="B295:D295"/>
    <mergeCell ref="B292:D292"/>
    <mergeCell ref="D286:E286"/>
    <mergeCell ref="B279:D279"/>
    <mergeCell ref="B294:D294"/>
    <mergeCell ref="B296:D296"/>
    <mergeCell ref="B280:D280"/>
    <mergeCell ref="A290:G290"/>
    <mergeCell ref="B304:D305"/>
    <mergeCell ref="B315:D315"/>
    <mergeCell ref="B303:D303"/>
    <mergeCell ref="B310:D310"/>
    <mergeCell ref="B301:D301"/>
    <mergeCell ref="B299:D299"/>
    <mergeCell ref="B311:D311"/>
    <mergeCell ref="B306:D307"/>
    <mergeCell ref="B298:D298"/>
    <mergeCell ref="B314:D314"/>
    <mergeCell ref="B354:D354"/>
    <mergeCell ref="B327:D327"/>
    <mergeCell ref="B335:D335"/>
    <mergeCell ref="B300:D300"/>
    <mergeCell ref="B302:D302"/>
    <mergeCell ref="B320:D320"/>
    <mergeCell ref="B308:D308"/>
    <mergeCell ref="B309:D309"/>
    <mergeCell ref="B316:D316"/>
    <mergeCell ref="B313:D313"/>
    <mergeCell ref="B325:D325"/>
    <mergeCell ref="B326:D326"/>
    <mergeCell ref="B322:D322"/>
    <mergeCell ref="B318:D318"/>
    <mergeCell ref="B332:D332"/>
    <mergeCell ref="B324:D324"/>
    <mergeCell ref="B319:D319"/>
    <mergeCell ref="B330:D330"/>
    <mergeCell ref="B331:D331"/>
    <mergeCell ref="E355:E356"/>
    <mergeCell ref="B343:D343"/>
    <mergeCell ref="B329:D329"/>
    <mergeCell ref="D337:E337"/>
    <mergeCell ref="B384:D384"/>
    <mergeCell ref="B359:D359"/>
    <mergeCell ref="B348:D348"/>
    <mergeCell ref="B333:D333"/>
    <mergeCell ref="B349:D349"/>
    <mergeCell ref="B334:D334"/>
    <mergeCell ref="B367:D367"/>
    <mergeCell ref="D338:E338"/>
    <mergeCell ref="A341:G341"/>
    <mergeCell ref="B382:D382"/>
    <mergeCell ref="H3:L3"/>
    <mergeCell ref="H60:L60"/>
    <mergeCell ref="H115:L115"/>
    <mergeCell ref="H177:L177"/>
    <mergeCell ref="H234:L234"/>
    <mergeCell ref="H292:L292"/>
    <mergeCell ref="B213:D213"/>
    <mergeCell ref="B96:D96"/>
    <mergeCell ref="B142:D142"/>
    <mergeCell ref="B450:D450"/>
    <mergeCell ref="B375:D375"/>
    <mergeCell ref="B377:D377"/>
    <mergeCell ref="B419:D419"/>
    <mergeCell ref="B328:D328"/>
    <mergeCell ref="B420:D420"/>
    <mergeCell ref="B378:D378"/>
    <mergeCell ref="E415:E416"/>
    <mergeCell ref="B454:D454"/>
    <mergeCell ref="E417:E418"/>
    <mergeCell ref="B432:D432"/>
    <mergeCell ref="B428:D428"/>
    <mergeCell ref="B427:D427"/>
    <mergeCell ref="B429:D429"/>
    <mergeCell ref="B453:D453"/>
    <mergeCell ref="B446:D446"/>
    <mergeCell ref="B443:D443"/>
    <mergeCell ref="B390:D390"/>
    <mergeCell ref="A401:G401"/>
    <mergeCell ref="D397:E397"/>
    <mergeCell ref="B471:D471"/>
    <mergeCell ref="D457:E457"/>
    <mergeCell ref="E476:E477"/>
    <mergeCell ref="B423:D423"/>
    <mergeCell ref="B465:D465"/>
    <mergeCell ref="B469:D469"/>
    <mergeCell ref="B442:D442"/>
    <mergeCell ref="B447:D447"/>
    <mergeCell ref="B431:D431"/>
    <mergeCell ref="B479:D479"/>
    <mergeCell ref="B449:D449"/>
    <mergeCell ref="B476:D477"/>
    <mergeCell ref="B466:D466"/>
    <mergeCell ref="B434:D434"/>
    <mergeCell ref="B438:D438"/>
    <mergeCell ref="B439:D439"/>
    <mergeCell ref="E474:E475"/>
    <mergeCell ref="B464:D464"/>
    <mergeCell ref="B467:D467"/>
    <mergeCell ref="B462:D462"/>
    <mergeCell ref="B452:D452"/>
    <mergeCell ref="B463:E463"/>
    <mergeCell ref="B480:D480"/>
    <mergeCell ref="B494:D494"/>
    <mergeCell ref="B488:D488"/>
    <mergeCell ref="B481:D481"/>
    <mergeCell ref="B482:D482"/>
    <mergeCell ref="B484:D484"/>
    <mergeCell ref="B492:D492"/>
    <mergeCell ref="B503:D503"/>
    <mergeCell ref="B508:D508"/>
    <mergeCell ref="B512:D512"/>
    <mergeCell ref="B499:D499"/>
    <mergeCell ref="B495:D495"/>
    <mergeCell ref="B502:D502"/>
    <mergeCell ref="B497:D497"/>
    <mergeCell ref="B505:D505"/>
    <mergeCell ref="B496:D496"/>
    <mergeCell ref="B498:D498"/>
    <mergeCell ref="B538:D538"/>
    <mergeCell ref="B514:D514"/>
    <mergeCell ref="D516:E516"/>
    <mergeCell ref="D517:E517"/>
    <mergeCell ref="A520:G520"/>
    <mergeCell ref="B521:D521"/>
    <mergeCell ref="B524:D524"/>
    <mergeCell ref="B528:D528"/>
    <mergeCell ref="B529:D529"/>
    <mergeCell ref="B525:D525"/>
    <mergeCell ref="B526:D526"/>
    <mergeCell ref="E536:E537"/>
    <mergeCell ref="B555:D555"/>
    <mergeCell ref="B549:D549"/>
    <mergeCell ref="B545:D545"/>
    <mergeCell ref="B543:D543"/>
    <mergeCell ref="B546:D546"/>
    <mergeCell ref="E534:E535"/>
    <mergeCell ref="B534:D535"/>
    <mergeCell ref="B539:D539"/>
    <mergeCell ref="B540:D540"/>
    <mergeCell ref="B541:D541"/>
    <mergeCell ref="B578:D578"/>
    <mergeCell ref="B579:E579"/>
    <mergeCell ref="B562:D562"/>
    <mergeCell ref="B568:D568"/>
    <mergeCell ref="B561:D561"/>
    <mergeCell ref="B577:D577"/>
    <mergeCell ref="B548:D548"/>
    <mergeCell ref="B560:D560"/>
    <mergeCell ref="B530:D530"/>
    <mergeCell ref="B532:D532"/>
    <mergeCell ref="B533:D533"/>
    <mergeCell ref="B542:D542"/>
    <mergeCell ref="B536:D537"/>
    <mergeCell ref="D573:E573"/>
    <mergeCell ref="B563:D563"/>
    <mergeCell ref="B569:D569"/>
    <mergeCell ref="B570:D570"/>
    <mergeCell ref="B564:D564"/>
    <mergeCell ref="B581:D581"/>
    <mergeCell ref="B582:D582"/>
    <mergeCell ref="B586:D586"/>
    <mergeCell ref="B587:D587"/>
    <mergeCell ref="B588:D588"/>
    <mergeCell ref="B585:D585"/>
    <mergeCell ref="B584:D584"/>
    <mergeCell ref="E634:E635"/>
    <mergeCell ref="B613:D613"/>
    <mergeCell ref="B634:D635"/>
    <mergeCell ref="D616:E616"/>
    <mergeCell ref="B632:D632"/>
    <mergeCell ref="B614:D614"/>
    <mergeCell ref="D617:E617"/>
    <mergeCell ref="A620:G620"/>
    <mergeCell ref="B627:D627"/>
    <mergeCell ref="B625:D625"/>
    <mergeCell ref="B628:D628"/>
    <mergeCell ref="B629:D629"/>
    <mergeCell ref="B653:D653"/>
    <mergeCell ref="B647:D647"/>
    <mergeCell ref="B640:D640"/>
    <mergeCell ref="B631:D631"/>
    <mergeCell ref="B652:D652"/>
    <mergeCell ref="B644:D644"/>
    <mergeCell ref="B650:D650"/>
    <mergeCell ref="B649:D649"/>
    <mergeCell ref="B666:D666"/>
    <mergeCell ref="B660:D660"/>
    <mergeCell ref="B664:D664"/>
    <mergeCell ref="B669:D669"/>
    <mergeCell ref="E636:E637"/>
    <mergeCell ref="B638:D638"/>
    <mergeCell ref="B641:D641"/>
    <mergeCell ref="B642:D642"/>
    <mergeCell ref="B645:D645"/>
    <mergeCell ref="B636:D637"/>
    <mergeCell ref="B626:D626"/>
    <mergeCell ref="D672:E672"/>
    <mergeCell ref="D671:E671"/>
    <mergeCell ref="B661:D661"/>
    <mergeCell ref="B667:D667"/>
    <mergeCell ref="B658:D658"/>
    <mergeCell ref="B663:D663"/>
    <mergeCell ref="B633:D633"/>
    <mergeCell ref="B668:D668"/>
    <mergeCell ref="B665:D665"/>
    <mergeCell ref="B624:D624"/>
    <mergeCell ref="B612:D612"/>
    <mergeCell ref="B623:E623"/>
    <mergeCell ref="B600:D600"/>
    <mergeCell ref="B605:D605"/>
    <mergeCell ref="B601:D601"/>
    <mergeCell ref="B603:D603"/>
    <mergeCell ref="B610:D610"/>
    <mergeCell ref="B609:D609"/>
    <mergeCell ref="B607:D607"/>
    <mergeCell ref="B154:D154"/>
    <mergeCell ref="B206:D206"/>
    <mergeCell ref="B207:D207"/>
    <mergeCell ref="B152:D152"/>
    <mergeCell ref="B153:D153"/>
    <mergeCell ref="B204:D204"/>
    <mergeCell ref="B191:D192"/>
    <mergeCell ref="A175:G175"/>
    <mergeCell ref="E191:E192"/>
    <mergeCell ref="B181:D181"/>
    <mergeCell ref="B365:D365"/>
    <mergeCell ref="D398:E398"/>
    <mergeCell ref="B596:D596"/>
    <mergeCell ref="B597:D597"/>
    <mergeCell ref="B395:D395"/>
    <mergeCell ref="B531:D531"/>
    <mergeCell ref="B589:D589"/>
    <mergeCell ref="B590:D591"/>
    <mergeCell ref="E590:E591"/>
    <mergeCell ref="E592:E593"/>
    <mergeCell ref="B364:D364"/>
    <mergeCell ref="B387:D387"/>
    <mergeCell ref="B388:D388"/>
    <mergeCell ref="B350:D350"/>
    <mergeCell ref="B368:D368"/>
    <mergeCell ref="B373:D373"/>
    <mergeCell ref="B383:D383"/>
    <mergeCell ref="B372:D372"/>
    <mergeCell ref="B353:D353"/>
    <mergeCell ref="B352:D352"/>
    <mergeCell ref="B622:D622"/>
    <mergeCell ref="B553:D553"/>
    <mergeCell ref="B554:D554"/>
    <mergeCell ref="B527:D527"/>
    <mergeCell ref="B485:D485"/>
    <mergeCell ref="B379:D379"/>
    <mergeCell ref="B606:D606"/>
    <mergeCell ref="B602:D602"/>
    <mergeCell ref="B592:D593"/>
    <mergeCell ref="B393:D393"/>
    <mergeCell ref="B621:D621"/>
    <mergeCell ref="B444:D444"/>
    <mergeCell ref="B544:D544"/>
    <mergeCell ref="B511:D511"/>
    <mergeCell ref="B556:D556"/>
    <mergeCell ref="B598:D598"/>
    <mergeCell ref="B599:D599"/>
    <mergeCell ref="B594:D594"/>
    <mergeCell ref="B595:D595"/>
    <mergeCell ref="B580:D580"/>
    <mergeCell ref="B414:D414"/>
    <mergeCell ref="B412:D412"/>
    <mergeCell ref="B437:D437"/>
    <mergeCell ref="B436:D436"/>
    <mergeCell ref="B425:D425"/>
    <mergeCell ref="B402:D402"/>
    <mergeCell ref="B415:D416"/>
    <mergeCell ref="B430:D430"/>
    <mergeCell ref="B405:D405"/>
    <mergeCell ref="B421:D421"/>
    <mergeCell ref="B662:D662"/>
    <mergeCell ref="B630:D630"/>
    <mergeCell ref="B657:D657"/>
    <mergeCell ref="B648:D648"/>
    <mergeCell ref="B643:D643"/>
    <mergeCell ref="B639:D639"/>
    <mergeCell ref="B646:D646"/>
    <mergeCell ref="B654:D654"/>
    <mergeCell ref="B656:D656"/>
    <mergeCell ref="B655:D655"/>
    <mergeCell ref="B408:D408"/>
    <mergeCell ref="B522:D522"/>
    <mergeCell ref="B523:E523"/>
    <mergeCell ref="B659:D659"/>
    <mergeCell ref="B566:D566"/>
    <mergeCell ref="B361:D361"/>
    <mergeCell ref="B362:D362"/>
    <mergeCell ref="B363:D363"/>
    <mergeCell ref="B391:D391"/>
    <mergeCell ref="B413:D413"/>
    <mergeCell ref="B201:D201"/>
    <mergeCell ref="B167:D167"/>
    <mergeCell ref="B202:D202"/>
    <mergeCell ref="B611:D611"/>
    <mergeCell ref="B500:D500"/>
    <mergeCell ref="B483:D483"/>
    <mergeCell ref="B473:D473"/>
    <mergeCell ref="B474:D475"/>
    <mergeCell ref="B223:D223"/>
    <mergeCell ref="B583:D583"/>
    <mergeCell ref="B224:D224"/>
    <mergeCell ref="B225:D225"/>
    <mergeCell ref="B386:D386"/>
    <mergeCell ref="B51:D51"/>
    <mergeCell ref="B101:D101"/>
    <mergeCell ref="B221:D221"/>
    <mergeCell ref="B163:D163"/>
    <mergeCell ref="B219:D219"/>
    <mergeCell ref="B144:D144"/>
    <mergeCell ref="B149:D149"/>
    <mergeCell ref="B651:D651"/>
    <mergeCell ref="B608:D608"/>
    <mergeCell ref="B604:D604"/>
    <mergeCell ref="B394:D394"/>
    <mergeCell ref="B370:D370"/>
    <mergeCell ref="B374:D374"/>
    <mergeCell ref="B441:D441"/>
    <mergeCell ref="B422:D422"/>
    <mergeCell ref="B406:D406"/>
    <mergeCell ref="B385:D385"/>
  </mergeCells>
  <printOptions/>
  <pageMargins left="0.3611111111111111" right="0.14444444444444446" top="0.3611111111111111" bottom="0.3611111111111111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="110" zoomScaleNormal="110" zoomScalePageLayoutView="0" workbookViewId="0" topLeftCell="A58">
      <selection activeCell="A74" sqref="A74"/>
    </sheetView>
  </sheetViews>
  <sheetFormatPr defaultColWidth="9.140625" defaultRowHeight="15"/>
  <cols>
    <col min="1" max="1" width="0.85546875" style="21" customWidth="1"/>
    <col min="2" max="2" width="41.00390625" style="21" customWidth="1"/>
    <col min="3" max="3" width="31.28125" style="21" customWidth="1"/>
    <col min="4" max="4" width="10.57421875" style="21" customWidth="1"/>
    <col min="5" max="5" width="12.421875" style="7" customWidth="1"/>
    <col min="6" max="6" width="12.8515625" style="21" customWidth="1"/>
    <col min="7" max="7" width="3.7109375" style="21" customWidth="1"/>
    <col min="8" max="16384" width="9.140625" style="21" customWidth="1"/>
  </cols>
  <sheetData>
    <row r="1" spans="1:5" ht="12.75" customHeight="1">
      <c r="A1" s="154" t="s">
        <v>79</v>
      </c>
      <c r="B1" s="154"/>
      <c r="C1" s="154"/>
      <c r="D1" s="154"/>
      <c r="E1" s="154"/>
    </row>
    <row r="2" ht="12" customHeight="1">
      <c r="B2" s="26" t="s">
        <v>0</v>
      </c>
    </row>
    <row r="3" spans="2:12" ht="12" customHeight="1">
      <c r="B3" s="83" t="s">
        <v>1</v>
      </c>
      <c r="C3" s="84"/>
      <c r="D3" s="84"/>
      <c r="E3" s="27" t="s">
        <v>112</v>
      </c>
      <c r="H3" s="125" t="s">
        <v>108</v>
      </c>
      <c r="I3" s="125"/>
      <c r="J3" s="125"/>
      <c r="K3" s="125"/>
      <c r="L3" s="125"/>
    </row>
    <row r="4" spans="2:12" ht="15" customHeight="1" thickBot="1">
      <c r="B4" s="155" t="s">
        <v>39</v>
      </c>
      <c r="C4" s="120"/>
      <c r="D4" s="120"/>
      <c r="E4" s="120"/>
      <c r="H4" s="8" t="s">
        <v>26</v>
      </c>
      <c r="I4" s="8" t="s">
        <v>109</v>
      </c>
      <c r="J4" s="8" t="s">
        <v>47</v>
      </c>
      <c r="K4" s="8" t="s">
        <v>110</v>
      </c>
      <c r="L4" s="8" t="s">
        <v>111</v>
      </c>
    </row>
    <row r="5" spans="2:12" ht="12" customHeight="1" hidden="1" thickBot="1">
      <c r="B5" s="80" t="s">
        <v>25</v>
      </c>
      <c r="C5" s="81"/>
      <c r="D5" s="81"/>
      <c r="E5" s="22"/>
      <c r="H5" s="28" t="s">
        <v>26</v>
      </c>
      <c r="I5" s="28" t="s">
        <v>27</v>
      </c>
      <c r="J5" s="28" t="s">
        <v>28</v>
      </c>
      <c r="K5" s="28" t="s">
        <v>29</v>
      </c>
      <c r="L5" s="29" t="s">
        <v>30</v>
      </c>
    </row>
    <row r="6" spans="2:12" ht="23.25" customHeight="1" thickBot="1">
      <c r="B6" s="80" t="s">
        <v>40</v>
      </c>
      <c r="C6" s="81"/>
      <c r="D6" s="81"/>
      <c r="E6" s="22">
        <f>2.05*J6*12+J6*2*2.05+2.05*4*J6*2</f>
        <v>166031.14</v>
      </c>
      <c r="H6" s="1">
        <v>416</v>
      </c>
      <c r="I6" s="1">
        <v>24609</v>
      </c>
      <c r="J6" s="1">
        <v>3681.4</v>
      </c>
      <c r="K6" s="1">
        <f>J6</f>
        <v>3681.4</v>
      </c>
      <c r="L6" s="2">
        <v>183</v>
      </c>
    </row>
    <row r="7" spans="2:5" ht="36" customHeight="1">
      <c r="B7" s="80" t="s">
        <v>31</v>
      </c>
      <c r="C7" s="81"/>
      <c r="D7" s="81"/>
      <c r="E7" s="22">
        <f>152224.52+4%</f>
        <v>152224.56</v>
      </c>
    </row>
    <row r="8" spans="2:5" ht="12" customHeight="1">
      <c r="B8" s="80" t="s">
        <v>32</v>
      </c>
      <c r="C8" s="81"/>
      <c r="D8" s="81"/>
      <c r="E8" s="22">
        <f>I6*2.05*2</f>
        <v>100896.9</v>
      </c>
    </row>
    <row r="9" spans="2:5" ht="12" customHeight="1" hidden="1">
      <c r="B9" s="80" t="s">
        <v>33</v>
      </c>
      <c r="C9" s="81"/>
      <c r="D9" s="81"/>
      <c r="E9" s="22"/>
    </row>
    <row r="10" spans="2:5" ht="25.5" customHeight="1">
      <c r="B10" s="80" t="s">
        <v>34</v>
      </c>
      <c r="C10" s="81"/>
      <c r="D10" s="81"/>
      <c r="E10" s="22">
        <f>(3*121.53*2*I6/1000)*3</f>
        <v>53833.17186</v>
      </c>
    </row>
    <row r="11" spans="2:5" ht="15">
      <c r="B11" s="80" t="s">
        <v>14</v>
      </c>
      <c r="C11" s="81"/>
      <c r="D11" s="81"/>
      <c r="E11" s="22">
        <f>12*I6*0.83</f>
        <v>245105.63999999998</v>
      </c>
    </row>
    <row r="12" spans="2:5" ht="12" customHeight="1">
      <c r="B12" s="80" t="s">
        <v>16</v>
      </c>
      <c r="C12" s="81"/>
      <c r="D12" s="81"/>
      <c r="E12" s="22">
        <f>12*I6*6.05</f>
        <v>1786613.4</v>
      </c>
    </row>
    <row r="13" spans="2:5" ht="12" customHeight="1">
      <c r="B13" s="80" t="s">
        <v>17</v>
      </c>
      <c r="C13" s="81"/>
      <c r="D13" s="81"/>
      <c r="E13" s="22">
        <f>1*L6*286.7*2</f>
        <v>104932.2</v>
      </c>
    </row>
    <row r="14" spans="2:5" ht="12" customHeight="1">
      <c r="B14" s="80" t="s">
        <v>15</v>
      </c>
      <c r="C14" s="81"/>
      <c r="D14" s="81"/>
      <c r="E14" s="22">
        <f>12*I6*0.54</f>
        <v>159466.32</v>
      </c>
    </row>
    <row r="15" spans="2:5" ht="12" customHeight="1">
      <c r="B15" s="104" t="s">
        <v>19</v>
      </c>
      <c r="C15" s="105"/>
      <c r="D15" s="105"/>
      <c r="E15" s="22">
        <v>90000</v>
      </c>
    </row>
    <row r="16" spans="2:5" ht="6" customHeight="1">
      <c r="B16" s="94" t="s">
        <v>18</v>
      </c>
      <c r="C16" s="95"/>
      <c r="D16" s="95"/>
      <c r="E16" s="123">
        <f>12*I6*0.79</f>
        <v>233293.32</v>
      </c>
    </row>
    <row r="17" spans="2:5" ht="6" customHeight="1">
      <c r="B17" s="97"/>
      <c r="C17" s="98"/>
      <c r="D17" s="98"/>
      <c r="E17" s="123"/>
    </row>
    <row r="18" spans="2:5" ht="6" customHeight="1">
      <c r="B18" s="94" t="s">
        <v>35</v>
      </c>
      <c r="C18" s="95"/>
      <c r="D18" s="95"/>
      <c r="E18" s="123">
        <f>12*I6*0.89</f>
        <v>262824.12</v>
      </c>
    </row>
    <row r="19" spans="2:5" ht="6" customHeight="1">
      <c r="B19" s="97"/>
      <c r="C19" s="98"/>
      <c r="D19" s="98"/>
      <c r="E19" s="123"/>
    </row>
    <row r="20" spans="2:5" ht="12" customHeight="1">
      <c r="B20" s="89" t="s">
        <v>41</v>
      </c>
      <c r="C20" s="90"/>
      <c r="D20" s="90"/>
      <c r="E20" s="22">
        <f>12*I6*0.37</f>
        <v>109263.95999999999</v>
      </c>
    </row>
    <row r="21" spans="2:5" ht="12" customHeight="1">
      <c r="B21" s="89" t="s">
        <v>42</v>
      </c>
      <c r="C21" s="90"/>
      <c r="D21" s="90"/>
      <c r="E21" s="22">
        <f>H6*2*80%*2*137.35*0.38</f>
        <v>69479.32160000001</v>
      </c>
    </row>
    <row r="22" spans="2:5" ht="12" customHeight="1">
      <c r="B22" s="89" t="s">
        <v>43</v>
      </c>
      <c r="C22" s="90"/>
      <c r="D22" s="90"/>
      <c r="E22" s="22">
        <f>H6*80%*2*137.35*0.38</f>
        <v>34739.660800000005</v>
      </c>
    </row>
    <row r="23" spans="2:5" ht="12" customHeight="1">
      <c r="B23" s="74" t="s">
        <v>37</v>
      </c>
      <c r="C23" s="74"/>
      <c r="D23" s="74"/>
      <c r="E23" s="6">
        <v>113305.25</v>
      </c>
    </row>
    <row r="24" spans="2:5" ht="12" customHeight="1">
      <c r="B24" s="74" t="s">
        <v>38</v>
      </c>
      <c r="C24" s="74"/>
      <c r="D24" s="74"/>
      <c r="E24" s="6">
        <v>26000</v>
      </c>
    </row>
    <row r="25" spans="2:5" ht="12" customHeight="1">
      <c r="B25" s="74" t="s">
        <v>44</v>
      </c>
      <c r="C25" s="74"/>
      <c r="D25" s="74"/>
      <c r="E25" s="6">
        <f>68.68*64</f>
        <v>4395.52</v>
      </c>
    </row>
    <row r="26" spans="2:5" ht="12" customHeight="1">
      <c r="B26" s="74" t="s">
        <v>4</v>
      </c>
      <c r="C26" s="74"/>
      <c r="D26" s="74"/>
      <c r="E26" s="6">
        <f>68.68*90</f>
        <v>6181.200000000001</v>
      </c>
    </row>
    <row r="27" spans="2:5" ht="12" customHeight="1">
      <c r="B27" s="74" t="s">
        <v>45</v>
      </c>
      <c r="C27" s="74"/>
      <c r="D27" s="74"/>
      <c r="E27" s="6">
        <f>68.68*100</f>
        <v>6868.000000000001</v>
      </c>
    </row>
    <row r="28" spans="2:5" s="64" customFormat="1" ht="12" customHeight="1">
      <c r="B28" s="67" t="s">
        <v>155</v>
      </c>
      <c r="C28" s="67"/>
      <c r="D28" s="67"/>
      <c r="E28" s="14">
        <f>'[2]на июль 15г'!$J$1002*1</f>
        <v>1675.1080074097824</v>
      </c>
    </row>
    <row r="29" spans="2:5" s="64" customFormat="1" ht="12" customHeight="1">
      <c r="B29" s="67" t="s">
        <v>151</v>
      </c>
      <c r="C29" s="67"/>
      <c r="D29" s="67"/>
      <c r="E29" s="14">
        <f>'[2]на июль 15г'!$J$988*30</f>
        <v>22589.105354593412</v>
      </c>
    </row>
    <row r="30" spans="2:5" s="64" customFormat="1" ht="12" customHeight="1">
      <c r="B30" s="67" t="s">
        <v>92</v>
      </c>
      <c r="C30" s="67"/>
      <c r="D30" s="67"/>
      <c r="E30" s="11">
        <f>112.6*1</f>
        <v>112.6</v>
      </c>
    </row>
    <row r="31" spans="2:5" s="64" customFormat="1" ht="14.25" customHeight="1">
      <c r="B31" s="67" t="s">
        <v>91</v>
      </c>
      <c r="C31" s="67"/>
      <c r="D31" s="67"/>
      <c r="E31" s="12">
        <f>54*'[1]на июль 15г'!$J$211</f>
        <v>3110.941702601254</v>
      </c>
    </row>
    <row r="32" spans="2:5" s="64" customFormat="1" ht="12" customHeight="1">
      <c r="B32" s="67" t="s">
        <v>172</v>
      </c>
      <c r="C32" s="78"/>
      <c r="D32" s="78"/>
      <c r="E32" s="11">
        <f>214.6*15</f>
        <v>3219</v>
      </c>
    </row>
    <row r="33" spans="2:5" s="64" customFormat="1" ht="12" customHeight="1">
      <c r="B33" s="67" t="s">
        <v>173</v>
      </c>
      <c r="C33" s="78"/>
      <c r="D33" s="78"/>
      <c r="E33" s="14">
        <f>18*'[2]на июль 15г'!$J$1015</f>
        <v>15234.99345146285</v>
      </c>
    </row>
    <row r="34" spans="2:5" s="64" customFormat="1" ht="15">
      <c r="B34" s="67" t="s">
        <v>89</v>
      </c>
      <c r="C34" s="67"/>
      <c r="D34" s="67"/>
      <c r="E34" s="14">
        <f>200*'[1]на июль 15г'!$J$198</f>
        <v>32901.60884950326</v>
      </c>
    </row>
    <row r="35" spans="2:5" s="64" customFormat="1" ht="15">
      <c r="B35" s="67" t="s">
        <v>177</v>
      </c>
      <c r="C35" s="67"/>
      <c r="D35" s="67"/>
      <c r="E35" s="14">
        <f>25*367</f>
        <v>9175</v>
      </c>
    </row>
    <row r="36" spans="2:5" s="64" customFormat="1" ht="11.25" customHeight="1">
      <c r="B36" s="67" t="s">
        <v>128</v>
      </c>
      <c r="C36" s="67"/>
      <c r="D36" s="67"/>
      <c r="E36" s="14">
        <f>6*'[1]на июль 15г'!$J$277</f>
        <v>5013.000724417275</v>
      </c>
    </row>
    <row r="37" spans="2:5" s="64" customFormat="1" ht="12" customHeight="1">
      <c r="B37" s="67" t="s">
        <v>139</v>
      </c>
      <c r="C37" s="67"/>
      <c r="D37" s="67"/>
      <c r="E37" s="14">
        <f>1*'[1]на июль 15г'!$J$277</f>
        <v>835.5001207362125</v>
      </c>
    </row>
    <row r="38" spans="2:5" s="64" customFormat="1" ht="14.25" customHeight="1">
      <c r="B38" s="67" t="s">
        <v>179</v>
      </c>
      <c r="C38" s="67"/>
      <c r="D38" s="67"/>
      <c r="E38" s="14">
        <f>121*20</f>
        <v>2420</v>
      </c>
    </row>
    <row r="39" spans="2:5" s="64" customFormat="1" ht="14.25" customHeight="1">
      <c r="B39" s="67" t="s">
        <v>154</v>
      </c>
      <c r="C39" s="67"/>
      <c r="D39" s="67"/>
      <c r="E39" s="12">
        <f>211*'[1]на июль 15г'!$J$198</f>
        <v>34711.19733622594</v>
      </c>
    </row>
    <row r="40" spans="2:5" s="64" customFormat="1" ht="12" customHeight="1">
      <c r="B40" s="67" t="s">
        <v>62</v>
      </c>
      <c r="C40" s="67"/>
      <c r="D40" s="67"/>
      <c r="E40" s="14">
        <f>22*'[1]на июль 15г'!$J$323</f>
        <v>2199.460886152304</v>
      </c>
    </row>
    <row r="41" spans="2:5" s="64" customFormat="1" ht="12" customHeight="1">
      <c r="B41" s="67" t="s">
        <v>69</v>
      </c>
      <c r="C41" s="67"/>
      <c r="D41" s="67"/>
      <c r="E41" s="14">
        <f>2*'[1]на июль 15г'!$J$290</f>
        <v>1218.0985294724248</v>
      </c>
    </row>
    <row r="42" spans="2:5" s="3" customFormat="1" ht="12" customHeight="1">
      <c r="B42" s="67" t="s">
        <v>88</v>
      </c>
      <c r="C42" s="67"/>
      <c r="D42" s="67"/>
      <c r="E42" s="14">
        <f>6*'[1]на июль 15г'!$J$238</f>
        <v>30624.612278118148</v>
      </c>
    </row>
    <row r="43" spans="2:5" s="64" customFormat="1" ht="15">
      <c r="B43" s="67" t="s">
        <v>8</v>
      </c>
      <c r="C43" s="67"/>
      <c r="D43" s="67"/>
      <c r="E43" s="12">
        <f>328*'[1]на июль 15г'!$J$211</f>
        <v>18896.090341726136</v>
      </c>
    </row>
    <row r="44" spans="2:5" ht="12" customHeight="1">
      <c r="B44" s="67" t="s">
        <v>12</v>
      </c>
      <c r="C44" s="67"/>
      <c r="D44" s="67"/>
      <c r="E44" s="14">
        <f>4*'[1]на июль 15г'!$J$444</f>
        <v>2738.463285929996</v>
      </c>
    </row>
    <row r="45" spans="2:5" s="57" customFormat="1" ht="12" customHeight="1">
      <c r="B45" s="67" t="s">
        <v>63</v>
      </c>
      <c r="C45" s="78"/>
      <c r="D45" s="78"/>
      <c r="E45" s="14">
        <f>4*'[1]на июль 15г'!$J$464</f>
        <v>3709.5515834631</v>
      </c>
    </row>
    <row r="46" spans="2:5" s="58" customFormat="1" ht="12" customHeight="1">
      <c r="B46" s="67" t="s">
        <v>136</v>
      </c>
      <c r="C46" s="67"/>
      <c r="D46" s="67"/>
      <c r="E46" s="11">
        <v>772.99</v>
      </c>
    </row>
    <row r="47" spans="2:5" s="3" customFormat="1" ht="12" customHeight="1">
      <c r="B47" s="67" t="s">
        <v>146</v>
      </c>
      <c r="C47" s="67"/>
      <c r="D47" s="67"/>
      <c r="E47" s="11">
        <f>82630.09</f>
        <v>82630.09</v>
      </c>
    </row>
    <row r="48" spans="2:6" ht="12" customHeight="1">
      <c r="B48" s="67" t="s">
        <v>2</v>
      </c>
      <c r="C48" s="67"/>
      <c r="D48" s="67"/>
      <c r="E48" s="14">
        <f>4*'[1]на июль 15г'!$J$915</f>
        <v>1868.0863635911974</v>
      </c>
      <c r="F48" s="3"/>
    </row>
    <row r="49" spans="2:5" s="3" customFormat="1" ht="12" customHeight="1">
      <c r="B49" s="70" t="s">
        <v>66</v>
      </c>
      <c r="C49" s="144"/>
      <c r="D49" s="145"/>
      <c r="E49" s="14">
        <f>18*('[1]на июль 15г'!$J$688+'[1]на июль 15г'!$J$677)</f>
        <v>31741.096834996526</v>
      </c>
    </row>
    <row r="50" spans="2:5" ht="12" customHeight="1">
      <c r="B50" s="67" t="s">
        <v>81</v>
      </c>
      <c r="C50" s="67"/>
      <c r="D50" s="67"/>
      <c r="E50" s="14">
        <f>8*'[1]на июль 15г'!$J$535</f>
        <v>3173.756031206322</v>
      </c>
    </row>
    <row r="51" spans="2:5" ht="12" customHeight="1">
      <c r="B51" s="67" t="s">
        <v>83</v>
      </c>
      <c r="C51" s="67"/>
      <c r="D51" s="67"/>
      <c r="E51" s="12">
        <f>8*'[1]на июль 15г'!$J$565</f>
        <v>4068.6801146771068</v>
      </c>
    </row>
    <row r="52" spans="2:5" ht="12" customHeight="1">
      <c r="B52" s="67" t="s">
        <v>120</v>
      </c>
      <c r="C52" s="67"/>
      <c r="D52" s="67"/>
      <c r="E52" s="11">
        <v>1377</v>
      </c>
    </row>
    <row r="53" spans="2:5" ht="12" customHeight="1">
      <c r="B53" s="67" t="s">
        <v>147</v>
      </c>
      <c r="C53" s="67"/>
      <c r="D53" s="67"/>
      <c r="E53" s="11">
        <f>2184</f>
        <v>2184</v>
      </c>
    </row>
    <row r="54" spans="2:5" ht="12" customHeight="1">
      <c r="B54" s="67" t="s">
        <v>156</v>
      </c>
      <c r="C54" s="67"/>
      <c r="D54" s="67"/>
      <c r="E54" s="11">
        <f>337.47</f>
        <v>337.47</v>
      </c>
    </row>
    <row r="55" spans="2:5" ht="12" customHeight="1">
      <c r="B55" s="67" t="s">
        <v>157</v>
      </c>
      <c r="C55" s="67"/>
      <c r="D55" s="67"/>
      <c r="E55" s="11">
        <v>2674.33</v>
      </c>
    </row>
    <row r="56" spans="2:5" ht="12" customHeight="1">
      <c r="B56" s="67" t="s">
        <v>78</v>
      </c>
      <c r="C56" s="78"/>
      <c r="D56" s="78"/>
      <c r="E56" s="12">
        <v>380</v>
      </c>
    </row>
    <row r="57" spans="2:5" ht="12" customHeight="1">
      <c r="B57" s="67" t="s">
        <v>36</v>
      </c>
      <c r="C57" s="78"/>
      <c r="D57" s="78"/>
      <c r="E57" s="12">
        <f>1975+43513.38</f>
        <v>45488.38</v>
      </c>
    </row>
    <row r="58" spans="2:5" ht="15" customHeight="1">
      <c r="B58" s="67" t="s">
        <v>98</v>
      </c>
      <c r="C58" s="78"/>
      <c r="D58" s="78"/>
      <c r="E58" s="11">
        <v>5770</v>
      </c>
    </row>
    <row r="59" spans="2:5" s="3" customFormat="1" ht="12" customHeight="1">
      <c r="B59" s="67" t="s">
        <v>171</v>
      </c>
      <c r="C59" s="78"/>
      <c r="D59" s="78"/>
      <c r="E59" s="11">
        <f>35776.03+40656+1888*27+12*1888+27*1888</f>
        <v>201040.03</v>
      </c>
    </row>
    <row r="60" spans="2:5" s="3" customFormat="1" ht="12" customHeight="1">
      <c r="B60" s="67" t="s">
        <v>169</v>
      </c>
      <c r="C60" s="67"/>
      <c r="D60" s="67"/>
      <c r="E60" s="11">
        <f>1800</f>
        <v>1800</v>
      </c>
    </row>
    <row r="61" spans="2:5" ht="14.25" customHeight="1">
      <c r="B61" s="67" t="s">
        <v>102</v>
      </c>
      <c r="C61" s="67"/>
      <c r="D61" s="67"/>
      <c r="E61" s="11">
        <v>1461.75</v>
      </c>
    </row>
    <row r="62" spans="2:5" ht="14.25" customHeight="1">
      <c r="B62" s="67" t="s">
        <v>162</v>
      </c>
      <c r="C62" s="67"/>
      <c r="D62" s="67"/>
      <c r="E62" s="11">
        <v>1394.7</v>
      </c>
    </row>
    <row r="63" spans="2:5" ht="14.25" customHeight="1">
      <c r="B63" s="67" t="s">
        <v>103</v>
      </c>
      <c r="C63" s="67"/>
      <c r="D63" s="67"/>
      <c r="E63" s="11">
        <v>77427.51</v>
      </c>
    </row>
    <row r="64" spans="2:5" ht="14.25" customHeight="1">
      <c r="B64" s="67" t="s">
        <v>161</v>
      </c>
      <c r="C64" s="67"/>
      <c r="D64" s="67"/>
      <c r="E64" s="11">
        <v>15005.79</v>
      </c>
    </row>
    <row r="65" spans="2:5" ht="14.25" customHeight="1">
      <c r="B65" s="67" t="s">
        <v>160</v>
      </c>
      <c r="C65" s="67"/>
      <c r="D65" s="67"/>
      <c r="E65" s="11">
        <f>161920+2254</f>
        <v>164174</v>
      </c>
    </row>
    <row r="66" spans="2:5" ht="12.75" customHeight="1">
      <c r="B66" s="67" t="s">
        <v>77</v>
      </c>
      <c r="C66" s="67"/>
      <c r="D66" s="67"/>
      <c r="E66" s="23">
        <v>59826.8</v>
      </c>
    </row>
    <row r="67" spans="2:5" ht="12" customHeight="1">
      <c r="B67" s="67" t="s">
        <v>10</v>
      </c>
      <c r="C67" s="78"/>
      <c r="D67" s="78"/>
      <c r="E67" s="11">
        <v>2000</v>
      </c>
    </row>
    <row r="68" spans="2:5" ht="12" customHeight="1">
      <c r="B68" s="67" t="s">
        <v>74</v>
      </c>
      <c r="C68" s="78"/>
      <c r="D68" s="78"/>
      <c r="E68" s="11">
        <v>2300</v>
      </c>
    </row>
    <row r="69" spans="2:5" ht="4.5" customHeight="1">
      <c r="B69" s="31"/>
      <c r="C69" s="31"/>
      <c r="D69" s="31"/>
      <c r="E69" s="32">
        <f>SUM(E5:E68)</f>
        <v>4624734.476056284</v>
      </c>
    </row>
    <row r="70" spans="3:5" ht="12" customHeight="1">
      <c r="C70" s="33" t="s">
        <v>72</v>
      </c>
      <c r="D70" s="153">
        <f>'[4]Лист1'!$B$60</f>
        <v>5049358.5200000005</v>
      </c>
      <c r="E70" s="122"/>
    </row>
    <row r="71" spans="3:5" ht="12" customHeight="1">
      <c r="C71" s="33" t="s">
        <v>9</v>
      </c>
      <c r="D71" s="102">
        <f>'[4]Лист1'!$C$60</f>
        <v>4984499.26</v>
      </c>
      <c r="E71" s="103"/>
    </row>
    <row r="72" spans="3:6" ht="12" customHeight="1">
      <c r="C72" s="33" t="s">
        <v>106</v>
      </c>
      <c r="D72" s="34"/>
      <c r="E72" s="61">
        <f>E69</f>
        <v>4624734.476056284</v>
      </c>
      <c r="F72" s="7"/>
    </row>
    <row r="73" spans="3:5" ht="12" customHeight="1">
      <c r="C73" s="33"/>
      <c r="D73" s="37"/>
      <c r="E73" s="9"/>
    </row>
  </sheetData>
  <sheetProtection password="CCF3" sheet="1" objects="1" scenarios="1" selectLockedCells="1" selectUnlockedCells="1"/>
  <mergeCells count="70">
    <mergeCell ref="H3:L3"/>
    <mergeCell ref="B6:D6"/>
    <mergeCell ref="B68:D68"/>
    <mergeCell ref="B62:D62"/>
    <mergeCell ref="B7:D7"/>
    <mergeCell ref="B28:D28"/>
    <mergeCell ref="B21:D21"/>
    <mergeCell ref="B33:D33"/>
    <mergeCell ref="B36:D36"/>
    <mergeCell ref="B37:D37"/>
    <mergeCell ref="B13:D13"/>
    <mergeCell ref="B16:D17"/>
    <mergeCell ref="B59:D59"/>
    <mergeCell ref="B3:D3"/>
    <mergeCell ref="A1:E1"/>
    <mergeCell ref="B4:E4"/>
    <mergeCell ref="E16:E17"/>
    <mergeCell ref="B12:D12"/>
    <mergeCell ref="B38:D38"/>
    <mergeCell ref="B30:D30"/>
    <mergeCell ref="E18:E19"/>
    <mergeCell ref="B65:D65"/>
    <mergeCell ref="B43:D43"/>
    <mergeCell ref="B61:D61"/>
    <mergeCell ref="B54:D54"/>
    <mergeCell ref="B29:D29"/>
    <mergeCell ref="B49:D49"/>
    <mergeCell ref="B31:D31"/>
    <mergeCell ref="D70:E70"/>
    <mergeCell ref="B40:D40"/>
    <mergeCell ref="D71:E71"/>
    <mergeCell ref="B27:D27"/>
    <mergeCell ref="B47:D47"/>
    <mergeCell ref="B57:D57"/>
    <mergeCell ref="B15:D15"/>
    <mergeCell ref="B5:D5"/>
    <mergeCell ref="B58:D58"/>
    <mergeCell ref="B56:D56"/>
    <mergeCell ref="B48:D48"/>
    <mergeCell ref="B44:D44"/>
    <mergeCell ref="B45:D45"/>
    <mergeCell ref="B52:D52"/>
    <mergeCell ref="B39:D39"/>
    <mergeCell ref="B55:D55"/>
    <mergeCell ref="B10:D10"/>
    <mergeCell ref="B34:D34"/>
    <mergeCell ref="B8:D8"/>
    <mergeCell ref="B24:D24"/>
    <mergeCell ref="B20:D20"/>
    <mergeCell ref="B11:D11"/>
    <mergeCell ref="B22:D22"/>
    <mergeCell ref="B14:D14"/>
    <mergeCell ref="B9:D9"/>
    <mergeCell ref="B18:D19"/>
    <mergeCell ref="B63:D63"/>
    <mergeCell ref="B64:D64"/>
    <mergeCell ref="B67:D67"/>
    <mergeCell ref="B51:D51"/>
    <mergeCell ref="B53:D53"/>
    <mergeCell ref="B46:D46"/>
    <mergeCell ref="B66:D66"/>
    <mergeCell ref="B50:D50"/>
    <mergeCell ref="B23:D23"/>
    <mergeCell ref="B32:D32"/>
    <mergeCell ref="B35:D35"/>
    <mergeCell ref="B60:D60"/>
    <mergeCell ref="B25:D25"/>
    <mergeCell ref="B42:D42"/>
    <mergeCell ref="B26:D26"/>
    <mergeCell ref="B41:D41"/>
  </mergeCells>
  <printOptions/>
  <pageMargins left="0.3611111111111111" right="0.14444444444444446" top="0.3611111111111111" bottom="0.361111111111111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</dc:creator>
  <cp:keywords/>
  <dc:description/>
  <cp:lastModifiedBy>User</cp:lastModifiedBy>
  <cp:lastPrinted>2020-03-19T03:26:36Z</cp:lastPrinted>
  <dcterms:created xsi:type="dcterms:W3CDTF">2018-02-22T04:59:03Z</dcterms:created>
  <dcterms:modified xsi:type="dcterms:W3CDTF">2020-03-27T03:08:34Z</dcterms:modified>
  <cp:category/>
  <cp:version/>
  <cp:contentType/>
  <cp:contentStatus/>
</cp:coreProperties>
</file>