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01" activeTab="0"/>
  </bookViews>
  <sheets>
    <sheet name="Лист 1" sheetId="1" r:id="rId1"/>
    <sheet name="цены" sheetId="2" state="hidden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<sst xmlns="http://schemas.openxmlformats.org/spreadsheetml/2006/main" count="109" uniqueCount="91">
  <si>
    <t>Сгруппированный по операциям</t>
  </si>
  <si>
    <t>Список операций</t>
  </si>
  <si>
    <t>Врезка в действующие внутренние сети трубопроводов отопления и водоснабжения диаметром: 20 мм</t>
  </si>
  <si>
    <t>Временная заделка свищей и трещин на внутренних трубопроводах и стояках</t>
  </si>
  <si>
    <t>Осмотр внутриквартийных устройств центрального отопления</t>
  </si>
  <si>
    <t>Осмотр водопровода, канализации и горячего водоснабжения в квартирах</t>
  </si>
  <si>
    <t>Осмотр линий электрических сетей, арматуры и электрооборудования</t>
  </si>
  <si>
    <t>Смена внутренних трубопроводов из стальных труб диаметром: до 25 мм</t>
  </si>
  <si>
    <t>Смена ламп накаливания</t>
  </si>
  <si>
    <t>Устранение засоров внутренних канализационных трубопроводах</t>
  </si>
  <si>
    <t>Оплачено по дому:</t>
  </si>
  <si>
    <t>Опиловка деревьев</t>
  </si>
  <si>
    <t>Очистка кровли от снега и скалывание сосулек</t>
  </si>
  <si>
    <t>Присоединение к зажимам жил проводов или кабелей сечением: до 2,5 мм2</t>
  </si>
  <si>
    <t>Ремонт отдельных мест из асбестоцементных листов</t>
  </si>
  <si>
    <t>Ремонт кровли (мелкие покрытия из оцинкованной стали парапеты, сандрики и т.д)</t>
  </si>
  <si>
    <t>Смена внутренних трубопроводов из стальных труб диаметром: до 20 мм</t>
  </si>
  <si>
    <t>Смена трубопроводов канализации из полиэтиленовых труб высокой плотности диаметром 100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</si>
  <si>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</si>
  <si>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</si>
  <si>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</si>
  <si>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</si>
  <si>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Смена внутренних трубопроводов из стальных труб диаметром: до 40 мм</t>
  </si>
  <si>
    <t>Уборка лестничных клеток</t>
  </si>
  <si>
    <t>Уборка придомовой территории механизированным способом</t>
  </si>
  <si>
    <t>Врезка в действующие внутренние сети трубопроводов отопления и водоснабжения диаметром: 25 мм</t>
  </si>
  <si>
    <t>Смена внутренних трубопроводов из стальных труб диаметром: до 50 мм</t>
  </si>
  <si>
    <t>Замена рубильника</t>
  </si>
  <si>
    <t>Врезка в действующие внутренние сети трубопроводов отопления и водоснабжения диаметром: 15 мм</t>
  </si>
  <si>
    <t>Смена внутренних трубопроводов из стальных труб диаметром: до 15 мм</t>
  </si>
  <si>
    <t>Смена внутренних трубопроводов из стальных труб диаметром: до 80 мм</t>
  </si>
  <si>
    <t>Смена сборки диаметром 25 мм</t>
  </si>
  <si>
    <t>квартир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</si>
  <si>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</si>
  <si>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</si>
  <si>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</si>
  <si>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</si>
  <si>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</si>
  <si>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</si>
  <si>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</si>
  <si>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</si>
  <si>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</si>
  <si>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Поверка общедомовых приборов учета (воды)</t>
  </si>
  <si>
    <t>подвал</t>
  </si>
  <si>
    <t>Смена сборки диаметром 32 мм</t>
  </si>
  <si>
    <t xml:space="preserve">Адрес дома: ЛЕНИНА ПР., 108 </t>
  </si>
  <si>
    <t>Отчет о работах, выполненных за период с Января 2018 г. по Декабрь 2018 г.</t>
  </si>
  <si>
    <t>Смена: выключателей</t>
  </si>
  <si>
    <t>Провод по установленным стальным конструкциям и панелям, сечение: до 16 мм2</t>
  </si>
  <si>
    <t>Смена патронов</t>
  </si>
  <si>
    <t>Смена автоматов</t>
  </si>
  <si>
    <t>электрика</t>
  </si>
  <si>
    <t>Смена ламп ДРЛ (с автовышкой)</t>
  </si>
  <si>
    <t>Смена внутренних трубопроводов из стальных труб диаметром: до 32 мм</t>
  </si>
  <si>
    <t>Смена внутренних трубопроводов из стальных труб диаметром: до 100 мм</t>
  </si>
  <si>
    <t>Врезка в действующие внутренние сети трубопроводов отопления и водоснабжения диаметром: 40 мм</t>
  </si>
  <si>
    <t>Врезка в действующие внутренние сети трубопроводов отопления и водоснабжения диаметром: 32 мм</t>
  </si>
  <si>
    <t>Врезка под термокарман</t>
  </si>
  <si>
    <t>Смена сборки диаметром 15 мм</t>
  </si>
  <si>
    <t>Смена сборки диаметром 20 мм</t>
  </si>
  <si>
    <t>Осмотр</t>
  </si>
  <si>
    <t xml:space="preserve">Смена трубопроводов канализации из полиэтиленовых труб диаметром: 110 мм                    </t>
  </si>
  <si>
    <t>Поверка манометров (демонтаж/монтаж/поверка)</t>
  </si>
  <si>
    <t>Замена датчика движения</t>
  </si>
  <si>
    <t>Автомат одно-, двух-, трехполюсный, устанавливаемый на конструкции: на стене или колонне, на ток до 100 А</t>
  </si>
  <si>
    <t>Замена плавких вставок</t>
  </si>
  <si>
    <t>Смена вентилей диаметром 15 мм</t>
  </si>
  <si>
    <t>Смена вентилей диаметром 20 мм</t>
  </si>
  <si>
    <t>Смена вентилей диаметром 25 мм</t>
  </si>
  <si>
    <t>Смена вентилей диаметром 32мм</t>
  </si>
  <si>
    <t>Смена вентилей диаметром 40 мм</t>
  </si>
  <si>
    <t>Смена задвижки диаметром 50 мм</t>
  </si>
  <si>
    <t>Смена задвижки диаметром 80 мм</t>
  </si>
  <si>
    <t>Смена светильников</t>
  </si>
  <si>
    <t>Установка фильтра диаметром 50мм</t>
  </si>
  <si>
    <t>Замена прямого звена водосточки</t>
  </si>
  <si>
    <t>Замена отметов</t>
  </si>
  <si>
    <t>Ремонт отдельных мест покрытия из асбоцементных листов: обыкновенного профиля</t>
  </si>
  <si>
    <t>Побелка электрощитовых</t>
  </si>
  <si>
    <t>Смена покрытия кровли средней сложности из листовой стали: без настенных желобов и свесов</t>
  </si>
  <si>
    <t>Ремонт скребка</t>
  </si>
  <si>
    <t>Ремонт скребков</t>
  </si>
  <si>
    <t xml:space="preserve">Герметизация примыкания козырьков </t>
  </si>
  <si>
    <t>Установка почтовых ящиков 2,3под (без мат)</t>
  </si>
  <si>
    <t xml:space="preserve">Начислено по дому: </t>
  </si>
  <si>
    <t>Итого затрачено по дому (+18% НДС)</t>
  </si>
  <si>
    <t>Сумма</t>
  </si>
  <si>
    <t>Количество</t>
  </si>
  <si>
    <t xml:space="preserve">общая площадь </t>
  </si>
  <si>
    <t>чердак</t>
  </si>
  <si>
    <t>стояки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</si>
</sst>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 horizontal="center" vertical="center"/>
      <protection/>
    </xf>
    <xf numFmtId="0" fontId="27" fillId="0" borderId="0">
      <alignment horizontal="center" vertical="center"/>
      <protection/>
    </xf>
    <xf numFmtId="0" fontId="28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8" fillId="20" borderId="0">
      <alignment horizontal="left" vertical="center"/>
      <protection/>
    </xf>
    <xf numFmtId="0" fontId="27" fillId="21" borderId="0">
      <alignment horizontal="center" vertical="center"/>
      <protection/>
    </xf>
    <xf numFmtId="0" fontId="28" fillId="0" borderId="0">
      <alignment horizontal="right" vertical="center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7" fillId="35" borderId="10" xfId="0" applyFont="1" applyFill="1" applyBorder="1" applyAlignment="1">
      <alignment wrapText="1"/>
    </xf>
    <xf numFmtId="0" fontId="47" fillId="35" borderId="10" xfId="0" applyFont="1" applyFill="1" applyBorder="1" applyAlignment="1">
      <alignment horizontal="center" wrapText="1"/>
    </xf>
    <xf numFmtId="2" fontId="48" fillId="0" borderId="0" xfId="42" applyNumberFormat="1" applyFont="1" applyBorder="1" applyAlignment="1" quotePrefix="1">
      <alignment horizontal="right" vertical="center" wrapText="1"/>
      <protection/>
    </xf>
    <xf numFmtId="0" fontId="0" fillId="35" borderId="0" xfId="0" applyFill="1" applyAlignment="1">
      <alignment wrapText="1"/>
    </xf>
    <xf numFmtId="2" fontId="0" fillId="35" borderId="0" xfId="0" applyNumberFormat="1" applyFill="1" applyAlignment="1">
      <alignment wrapText="1"/>
    </xf>
    <xf numFmtId="4" fontId="25" fillId="35" borderId="0" xfId="0" applyNumberFormat="1" applyFont="1" applyFill="1" applyAlignment="1">
      <alignment wrapText="1"/>
    </xf>
    <xf numFmtId="0" fontId="27" fillId="35" borderId="0" xfId="45" applyFill="1" applyAlignment="1" quotePrefix="1">
      <alignment horizontal="right" vertical="top" wrapText="1"/>
      <protection/>
    </xf>
    <xf numFmtId="4" fontId="27" fillId="35" borderId="11" xfId="39" applyNumberFormat="1" applyFill="1" applyBorder="1" applyAlignment="1" quotePrefix="1">
      <alignment vertical="top" wrapText="1"/>
      <protection/>
    </xf>
    <xf numFmtId="2" fontId="0" fillId="35" borderId="11" xfId="0" applyNumberFormat="1" applyFill="1" applyBorder="1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4" fontId="28" fillId="35" borderId="12" xfId="42" applyNumberFormat="1" applyFill="1" applyBorder="1" applyAlignment="1" quotePrefix="1">
      <alignment horizontal="right" vertical="center" wrapText="1"/>
      <protection/>
    </xf>
    <xf numFmtId="2" fontId="28" fillId="0" borderId="12" xfId="42" applyNumberFormat="1" applyBorder="1" applyAlignment="1" quotePrefix="1">
      <alignment horizontal="right" vertical="center" wrapText="1"/>
      <protection/>
    </xf>
    <xf numFmtId="2" fontId="28" fillId="35" borderId="12" xfId="42" applyNumberFormat="1" applyFill="1" applyBorder="1" applyAlignment="1" quotePrefix="1">
      <alignment horizontal="right" vertical="center" wrapText="1"/>
      <protection/>
    </xf>
    <xf numFmtId="0" fontId="28" fillId="35" borderId="12" xfId="42" applyNumberFormat="1" applyFill="1" applyBorder="1" applyAlignment="1" quotePrefix="1">
      <alignment horizontal="right" vertical="center" wrapText="1"/>
      <protection/>
    </xf>
    <xf numFmtId="0" fontId="28" fillId="0" borderId="12" xfId="42" applyNumberFormat="1" applyBorder="1" applyAlignment="1" quotePrefix="1">
      <alignment horizontal="right" vertical="center" wrapText="1"/>
      <protection/>
    </xf>
    <xf numFmtId="0" fontId="27" fillId="21" borderId="12" xfId="41" applyBorder="1" applyAlignment="1" quotePrefix="1">
      <alignment horizontal="center" vertical="center" wrapText="1"/>
      <protection/>
    </xf>
    <xf numFmtId="0" fontId="0" fillId="0" borderId="12" xfId="0" applyFill="1" applyBorder="1" applyAlignment="1">
      <alignment horizontal="center" wrapText="1"/>
    </xf>
    <xf numFmtId="0" fontId="25" fillId="0" borderId="0" xfId="0" applyFont="1" applyBorder="1" applyAlignment="1">
      <alignment wrapText="1"/>
    </xf>
    <xf numFmtId="0" fontId="48" fillId="0" borderId="0" xfId="42" applyNumberFormat="1" applyFont="1" applyBorder="1" applyAlignment="1" quotePrefix="1">
      <alignment horizontal="right" vertical="center" wrapText="1"/>
      <protection/>
    </xf>
    <xf numFmtId="0" fontId="38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48" fillId="35" borderId="0" xfId="42" applyNumberFormat="1" applyFont="1" applyFill="1" applyBorder="1" applyAlignment="1" quotePrefix="1">
      <alignment horizontal="right" vertical="center" wrapText="1"/>
      <protection/>
    </xf>
    <xf numFmtId="0" fontId="48" fillId="0" borderId="0" xfId="43" applyFont="1" applyBorder="1" applyAlignment="1" quotePrefix="1">
      <alignment horizontal="center" vertical="top" wrapText="1"/>
      <protection/>
    </xf>
    <xf numFmtId="0" fontId="48" fillId="0" borderId="0" xfId="43" applyFont="1" applyBorder="1" applyAlignment="1" quotePrefix="1">
      <alignment horizontal="left" vertical="top" wrapText="1"/>
      <protection/>
    </xf>
    <xf numFmtId="2" fontId="25" fillId="0" borderId="0" xfId="0" applyNumberFormat="1" applyFont="1" applyBorder="1" applyAlignment="1">
      <alignment wrapText="1"/>
    </xf>
    <xf numFmtId="4" fontId="27" fillId="35" borderId="13" xfId="46" applyNumberFormat="1" applyFill="1" applyBorder="1" applyAlignment="1" quotePrefix="1">
      <alignment horizontal="right" vertical="top" wrapText="1"/>
      <protection/>
    </xf>
    <xf numFmtId="0" fontId="0" fillId="35" borderId="13" xfId="0" applyFill="1" applyBorder="1" applyAlignment="1">
      <alignment wrapText="1"/>
    </xf>
    <xf numFmtId="0" fontId="27" fillId="35" borderId="11" xfId="34" applyFill="1" applyBorder="1" applyAlignment="1" quotePrefix="1">
      <alignment horizontal="left" vertical="center" wrapText="1"/>
      <protection/>
    </xf>
    <xf numFmtId="0" fontId="28" fillId="35" borderId="12" xfId="43" applyFill="1" applyBorder="1" applyAlignment="1" quotePrefix="1">
      <alignment horizontal="left" vertical="top" wrapText="1"/>
      <protection/>
    </xf>
    <xf numFmtId="0" fontId="0" fillId="35" borderId="12" xfId="0" applyFill="1" applyBorder="1" applyAlignment="1">
      <alignment wrapText="1"/>
    </xf>
    <xf numFmtId="4" fontId="27" fillId="35" borderId="0" xfId="39" applyNumberFormat="1" applyFill="1" applyAlignment="1" quotePrefix="1">
      <alignment horizontal="right" vertical="top" wrapText="1"/>
      <protection/>
    </xf>
    <xf numFmtId="0" fontId="0" fillId="35" borderId="0" xfId="0" applyFill="1" applyAlignment="1">
      <alignment wrapText="1"/>
    </xf>
    <xf numFmtId="0" fontId="27" fillId="21" borderId="12" xfId="41" applyBorder="1" applyAlignment="1" quotePrefix="1">
      <alignment horizontal="center" vertical="center" wrapText="1"/>
      <protection/>
    </xf>
    <xf numFmtId="0" fontId="28" fillId="36" borderId="14" xfId="40" applyFill="1" applyBorder="1" applyAlignment="1" quotePrefix="1">
      <alignment horizontal="left" vertical="center" wrapText="1"/>
      <protection/>
    </xf>
    <xf numFmtId="0" fontId="28" fillId="36" borderId="13" xfId="40" applyFill="1" applyBorder="1" applyAlignment="1" quotePrefix="1">
      <alignment horizontal="left" vertical="center" wrapText="1"/>
      <protection/>
    </xf>
    <xf numFmtId="0" fontId="26" fillId="35" borderId="0" xfId="33" applyFill="1" applyAlignment="1" quotePrefix="1">
      <alignment horizontal="center" vertical="center" wrapText="1"/>
      <protection/>
    </xf>
    <xf numFmtId="0" fontId="28" fillId="0" borderId="12" xfId="43" applyBorder="1" applyAlignment="1" quotePrefix="1">
      <alignment horizontal="left" vertical="top" wrapText="1"/>
      <protection/>
    </xf>
    <xf numFmtId="0" fontId="28" fillId="35" borderId="12" xfId="37" applyFill="1" applyBorder="1" applyAlignment="1" quotePrefix="1">
      <alignment horizontal="left" vertical="top" wrapText="1"/>
      <protection/>
    </xf>
    <xf numFmtId="4" fontId="28" fillId="35" borderId="12" xfId="42" applyNumberFormat="1" applyFill="1" applyBorder="1" applyAlignment="1" quotePrefix="1">
      <alignment horizontal="right" vertical="center" wrapText="1"/>
      <protection/>
    </xf>
    <xf numFmtId="0" fontId="0" fillId="0" borderId="12" xfId="0" applyBorder="1" applyAlignment="1">
      <alignment wrapText="1"/>
    </xf>
    <xf numFmtId="0" fontId="0" fillId="37" borderId="12" xfId="0" applyFill="1" applyBorder="1" applyAlignment="1">
      <alignment horizontal="center" wrapText="1"/>
    </xf>
    <xf numFmtId="0" fontId="48" fillId="0" borderId="0" xfId="43" applyFont="1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89;&#1072;&#1081;&#1077;&#1088;&#1072;\&#1051;&#1086;&#1082;&#1072;&#1083;&#1100;&#1085;&#1072;&#1103;%20&#1089;&#1084;&#1077;&#1090;&#1072;%20&#1085;&#1072;%20&#1089;&#1074;&#1072;&#1088;&#1082;&#1091;%20&#1080;%20&#1101;&#1083;&#1077;&#1082;&#1090;&#1088;&#1080;&#1082;&#1091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85;&#1072;&#1095;%20&#1080;%20&#1086;&#1087;&#1083;&#1072;&#1090;&#1072;%202018%20&#1090;&#1077;&#1082;&#1091;&#109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окальная смета"/>
      <sheetName val="Локальная смета (2)"/>
      <sheetName val="для Волгоградской 3"/>
      <sheetName val="для Волгоградской 17"/>
      <sheetName val="2016 год"/>
      <sheetName val="2017 год"/>
    </sheetNames>
    <sheetDataSet>
      <sheetData sheetId="5">
        <row r="166">
          <cell r="J166">
            <v>1040.7219003228363</v>
          </cell>
        </row>
        <row r="177">
          <cell r="J177">
            <v>1423.8940268246333</v>
          </cell>
        </row>
        <row r="189">
          <cell r="J189">
            <v>7669.393914751781</v>
          </cell>
        </row>
        <row r="201">
          <cell r="J201">
            <v>11278.410667718827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35">
          <cell r="D35">
            <v>644102.2699999999</v>
          </cell>
          <cell r="E35">
            <v>635056.1399999999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="120" zoomScaleNormal="120" zoomScalePageLayoutView="0" workbookViewId="0" topLeftCell="A1">
      <selection activeCell="B42" sqref="B42:D42"/>
    </sheetView>
  </sheetViews>
  <sheetFormatPr defaultColWidth="9.140625" defaultRowHeight="15"/>
  <cols>
    <col min="1" max="1" width="2.140625" style="4" customWidth="1"/>
    <col min="2" max="2" width="6.8515625" style="4" customWidth="1"/>
    <col min="3" max="3" width="32.57421875" style="4" customWidth="1"/>
    <col min="4" max="4" width="33.00390625" style="4" customWidth="1"/>
    <col min="5" max="5" width="16.7109375" style="4" customWidth="1"/>
    <col min="6" max="6" width="2.140625" style="4" customWidth="1"/>
    <col min="7" max="7" width="3.7109375" style="4" customWidth="1"/>
    <col min="8" max="9" width="11.57421875" style="4" bestFit="1" customWidth="1"/>
    <col min="10" max="16384" width="9.140625" style="4" customWidth="1"/>
  </cols>
  <sheetData>
    <row r="1" spans="1:7" ht="24" customHeight="1">
      <c r="A1" s="40" t="s">
        <v>46</v>
      </c>
      <c r="B1" s="36"/>
      <c r="C1" s="36"/>
      <c r="D1" s="36"/>
      <c r="E1" s="36"/>
      <c r="F1" s="36"/>
      <c r="G1" s="36"/>
    </row>
    <row r="2" spans="2:5" ht="12" customHeight="1">
      <c r="B2" s="32" t="s">
        <v>0</v>
      </c>
      <c r="C2" s="32"/>
      <c r="D2" s="32"/>
      <c r="E2" s="5"/>
    </row>
    <row r="3" spans="2:12" ht="21" customHeight="1">
      <c r="B3" s="37" t="s">
        <v>1</v>
      </c>
      <c r="C3" s="37"/>
      <c r="D3" s="37"/>
      <c r="E3" s="20" t="s">
        <v>86</v>
      </c>
      <c r="H3" s="45" t="s">
        <v>87</v>
      </c>
      <c r="I3" s="45"/>
      <c r="J3" s="45"/>
      <c r="K3" s="45"/>
      <c r="L3" s="45"/>
    </row>
    <row r="4" spans="2:12" ht="15" customHeight="1" thickBot="1">
      <c r="B4" s="38" t="s">
        <v>45</v>
      </c>
      <c r="C4" s="39"/>
      <c r="D4" s="39"/>
      <c r="E4" s="39"/>
      <c r="H4" s="21" t="s">
        <v>32</v>
      </c>
      <c r="I4" s="21" t="s">
        <v>88</v>
      </c>
      <c r="J4" s="21" t="s">
        <v>43</v>
      </c>
      <c r="K4" s="21" t="s">
        <v>89</v>
      </c>
      <c r="L4" s="21" t="s">
        <v>90</v>
      </c>
    </row>
    <row r="5" spans="2:12" ht="23.25" customHeight="1" thickBot="1">
      <c r="B5" s="33" t="s">
        <v>38</v>
      </c>
      <c r="C5" s="33"/>
      <c r="D5" s="33"/>
      <c r="E5" s="15">
        <f>2.05*J5*12+J5*2*2.05+2.05*4*J5</f>
        <v>32503.734</v>
      </c>
      <c r="H5" s="1">
        <v>80</v>
      </c>
      <c r="I5" s="1">
        <v>3505.9</v>
      </c>
      <c r="J5" s="1">
        <v>880.86</v>
      </c>
      <c r="K5" s="1">
        <f>J5</f>
        <v>880.86</v>
      </c>
      <c r="L5" s="2">
        <v>56</v>
      </c>
    </row>
    <row r="6" spans="2:12" ht="36" customHeight="1">
      <c r="B6" s="33" t="s">
        <v>33</v>
      </c>
      <c r="C6" s="33"/>
      <c r="D6" s="33"/>
      <c r="E6" s="15">
        <f>(I5*2.05*2)</f>
        <v>14374.189999999999</v>
      </c>
      <c r="H6" s="14"/>
      <c r="I6" s="14"/>
      <c r="J6" s="14"/>
      <c r="K6" s="14"/>
      <c r="L6" s="14"/>
    </row>
    <row r="7" spans="2:5" ht="12" customHeight="1">
      <c r="B7" s="33" t="s">
        <v>34</v>
      </c>
      <c r="C7" s="33"/>
      <c r="D7" s="33"/>
      <c r="E7" s="15">
        <f>I5*2.05*2</f>
        <v>14374.189999999999</v>
      </c>
    </row>
    <row r="8" spans="2:5" ht="12" customHeight="1" hidden="1">
      <c r="B8" s="33" t="s">
        <v>35</v>
      </c>
      <c r="C8" s="33"/>
      <c r="D8" s="33"/>
      <c r="E8" s="15"/>
    </row>
    <row r="9" spans="2:5" ht="24" customHeight="1">
      <c r="B9" s="33" t="s">
        <v>36</v>
      </c>
      <c r="C9" s="33"/>
      <c r="D9" s="33"/>
      <c r="E9" s="15">
        <f>(3*121.53*2*I5/1000)*3</f>
        <v>7669.296486000001</v>
      </c>
    </row>
    <row r="10" spans="2:5" ht="12" customHeight="1">
      <c r="B10" s="33" t="s">
        <v>18</v>
      </c>
      <c r="C10" s="33"/>
      <c r="D10" s="33"/>
      <c r="E10" s="15">
        <f>12*I5*0.76</f>
        <v>31973.808</v>
      </c>
    </row>
    <row r="11" spans="2:5" ht="12" customHeight="1">
      <c r="B11" s="33" t="s">
        <v>20</v>
      </c>
      <c r="C11" s="33"/>
      <c r="D11" s="33"/>
      <c r="E11" s="15">
        <f>12*I5*4.53</f>
        <v>190580.72400000002</v>
      </c>
    </row>
    <row r="12" spans="2:5" ht="12" customHeight="1">
      <c r="B12" s="33" t="s">
        <v>21</v>
      </c>
      <c r="C12" s="33"/>
      <c r="D12" s="33"/>
      <c r="E12" s="15">
        <f>1*L5*286.7*2</f>
        <v>32110.399999999998</v>
      </c>
    </row>
    <row r="13" spans="2:5" ht="12" customHeight="1">
      <c r="B13" s="33" t="s">
        <v>19</v>
      </c>
      <c r="C13" s="33"/>
      <c r="D13" s="33"/>
      <c r="E13" s="15">
        <f>12*I5*0.54</f>
        <v>22718.232000000004</v>
      </c>
    </row>
    <row r="14" spans="2:5" ht="12" customHeight="1">
      <c r="B14" s="42" t="s">
        <v>24</v>
      </c>
      <c r="C14" s="42"/>
      <c r="D14" s="42"/>
      <c r="E14" s="15">
        <v>15000</v>
      </c>
    </row>
    <row r="15" spans="2:5" ht="6" customHeight="1">
      <c r="B15" s="33" t="s">
        <v>23</v>
      </c>
      <c r="C15" s="33"/>
      <c r="D15" s="33"/>
      <c r="E15" s="43">
        <f>12*I5*0.65</f>
        <v>27346.020000000004</v>
      </c>
    </row>
    <row r="16" spans="2:5" ht="6" customHeight="1">
      <c r="B16" s="33"/>
      <c r="C16" s="33"/>
      <c r="D16" s="33"/>
      <c r="E16" s="43"/>
    </row>
    <row r="17" spans="2:5" ht="6" customHeight="1">
      <c r="B17" s="33" t="s">
        <v>37</v>
      </c>
      <c r="C17" s="33"/>
      <c r="D17" s="33"/>
      <c r="E17" s="43">
        <f>12*I5*1.63</f>
        <v>68575.404</v>
      </c>
    </row>
    <row r="18" spans="2:5" ht="6" customHeight="1">
      <c r="B18" s="33"/>
      <c r="C18" s="33"/>
      <c r="D18" s="33"/>
      <c r="E18" s="43"/>
    </row>
    <row r="19" spans="2:5" ht="12" customHeight="1">
      <c r="B19" s="33" t="s">
        <v>42</v>
      </c>
      <c r="C19" s="33"/>
      <c r="D19" s="33"/>
      <c r="E19" s="15">
        <v>583.28</v>
      </c>
    </row>
    <row r="20" spans="2:5" ht="12" customHeight="1">
      <c r="B20" s="33" t="s">
        <v>39</v>
      </c>
      <c r="C20" s="33"/>
      <c r="D20" s="33"/>
      <c r="E20" s="15">
        <f>12*I5*0.37</f>
        <v>15566.196000000002</v>
      </c>
    </row>
    <row r="21" spans="2:5" ht="12" customHeight="1">
      <c r="B21" s="33" t="s">
        <v>40</v>
      </c>
      <c r="C21" s="33"/>
      <c r="D21" s="33"/>
      <c r="E21" s="15">
        <f>H5*2*70%*2*137.35*0.38</f>
        <v>11691.232</v>
      </c>
    </row>
    <row r="22" spans="2:5" ht="12" customHeight="1">
      <c r="B22" s="33" t="s">
        <v>41</v>
      </c>
      <c r="C22" s="33"/>
      <c r="D22" s="33"/>
      <c r="E22" s="15">
        <f>H5*70%*2*137.35*0.38</f>
        <v>5845.616</v>
      </c>
    </row>
    <row r="23" spans="2:5" ht="12" customHeight="1">
      <c r="B23" s="33" t="s">
        <v>4</v>
      </c>
      <c r="C23" s="34"/>
      <c r="D23" s="34"/>
      <c r="E23" s="18">
        <f>68.68*10</f>
        <v>686.8000000000001</v>
      </c>
    </row>
    <row r="24" spans="2:5" ht="12" customHeight="1">
      <c r="B24" s="33" t="s">
        <v>5</v>
      </c>
      <c r="C24" s="34"/>
      <c r="D24" s="34"/>
      <c r="E24" s="18">
        <f>68.68*19</f>
        <v>1304.92</v>
      </c>
    </row>
    <row r="25" spans="2:5" ht="12" customHeight="1">
      <c r="B25" s="33" t="s">
        <v>6</v>
      </c>
      <c r="C25" s="34"/>
      <c r="D25" s="34"/>
      <c r="E25" s="18">
        <f>68.68*15</f>
        <v>1030.2</v>
      </c>
    </row>
    <row r="26" spans="2:5" s="11" customFormat="1" ht="12" customHeight="1">
      <c r="B26" s="41" t="s">
        <v>8</v>
      </c>
      <c r="C26" s="41"/>
      <c r="D26" s="41"/>
      <c r="E26" s="19">
        <f>3*цены!E13</f>
        <v>240.42000000000002</v>
      </c>
    </row>
    <row r="27" spans="2:5" s="11" customFormat="1" ht="12" customHeight="1">
      <c r="B27" s="41" t="s">
        <v>47</v>
      </c>
      <c r="C27" s="44"/>
      <c r="D27" s="44"/>
      <c r="E27" s="19">
        <f>3*цены!E15</f>
        <v>423.65999999999997</v>
      </c>
    </row>
    <row r="28" spans="2:5" s="10" customFormat="1" ht="12" customHeight="1">
      <c r="B28" s="33" t="s">
        <v>48</v>
      </c>
      <c r="C28" s="34"/>
      <c r="D28" s="34"/>
      <c r="E28" s="18">
        <f>25*цены!E16</f>
        <v>4014.5000000000005</v>
      </c>
    </row>
    <row r="29" spans="2:5" s="10" customFormat="1" ht="26.25" customHeight="1">
      <c r="B29" s="33" t="s">
        <v>64</v>
      </c>
      <c r="C29" s="34"/>
      <c r="D29" s="34"/>
      <c r="E29" s="18">
        <f>16*цены!E22</f>
        <v>8672.16</v>
      </c>
    </row>
    <row r="30" spans="2:5" s="10" customFormat="1" ht="12" customHeight="1">
      <c r="B30" s="42" t="s">
        <v>63</v>
      </c>
      <c r="C30" s="34"/>
      <c r="D30" s="34"/>
      <c r="E30" s="18">
        <f>цены!E21</f>
        <v>731.09</v>
      </c>
    </row>
    <row r="31" spans="2:5" s="10" customFormat="1" ht="12" customHeight="1">
      <c r="B31" s="33" t="s">
        <v>13</v>
      </c>
      <c r="C31" s="34"/>
      <c r="D31" s="34"/>
      <c r="E31" s="18">
        <f>2*112</f>
        <v>224</v>
      </c>
    </row>
    <row r="32" spans="2:5" s="10" customFormat="1" ht="24.75" customHeight="1">
      <c r="B32" s="33" t="s">
        <v>17</v>
      </c>
      <c r="C32" s="34"/>
      <c r="D32" s="34"/>
      <c r="E32" s="18">
        <f>11.5*цены!E37</f>
        <v>14780.03</v>
      </c>
    </row>
    <row r="33" spans="2:5" s="10" customFormat="1" ht="12" customHeight="1">
      <c r="B33" s="33" t="s">
        <v>16</v>
      </c>
      <c r="C33" s="34"/>
      <c r="D33" s="34"/>
      <c r="E33" s="18">
        <f>4*цены!E28</f>
        <v>2516.08</v>
      </c>
    </row>
    <row r="34" spans="2:5" s="13" customFormat="1" ht="12" customHeight="1">
      <c r="B34" s="41" t="s">
        <v>12</v>
      </c>
      <c r="C34" s="41"/>
      <c r="D34" s="41"/>
      <c r="E34" s="19">
        <f>25.43*25*2+25.43*10+22*25.43</f>
        <v>2085.26</v>
      </c>
    </row>
    <row r="35" spans="2:5" s="12" customFormat="1" ht="12" customHeight="1">
      <c r="B35" s="33" t="s">
        <v>78</v>
      </c>
      <c r="C35" s="34"/>
      <c r="D35" s="34"/>
      <c r="E35" s="18">
        <v>455</v>
      </c>
    </row>
    <row r="36" spans="2:5" s="12" customFormat="1" ht="12" customHeight="1">
      <c r="B36" s="33" t="s">
        <v>76</v>
      </c>
      <c r="C36" s="34"/>
      <c r="D36" s="34"/>
      <c r="E36" s="18">
        <f>553.9*7</f>
        <v>3877.2999999999997</v>
      </c>
    </row>
    <row r="37" spans="2:5" s="12" customFormat="1" ht="12" customHeight="1">
      <c r="B37" s="33" t="s">
        <v>75</v>
      </c>
      <c r="C37" s="34"/>
      <c r="D37" s="34"/>
      <c r="E37" s="17">
        <f>743.67*1*1.25</f>
        <v>929.5875</v>
      </c>
    </row>
    <row r="38" spans="2:5" s="12" customFormat="1" ht="24" customHeight="1">
      <c r="B38" s="33" t="s">
        <v>79</v>
      </c>
      <c r="C38" s="34"/>
      <c r="D38" s="34"/>
      <c r="E38" s="18">
        <f>15.6*540+2.4*540</f>
        <v>9720</v>
      </c>
    </row>
    <row r="39" spans="2:5" s="12" customFormat="1" ht="12" customHeight="1">
      <c r="B39" s="33" t="s">
        <v>80</v>
      </c>
      <c r="C39" s="34"/>
      <c r="D39" s="34"/>
      <c r="E39" s="18">
        <f>547.58</f>
        <v>547.58</v>
      </c>
    </row>
    <row r="40" spans="2:5" s="13" customFormat="1" ht="12" customHeight="1">
      <c r="B40" s="41" t="s">
        <v>11</v>
      </c>
      <c r="C40" s="44"/>
      <c r="D40" s="44"/>
      <c r="E40" s="19">
        <f>1540*4</f>
        <v>6160</v>
      </c>
    </row>
    <row r="41" spans="2:5" s="13" customFormat="1" ht="11.25" customHeight="1">
      <c r="B41" s="41" t="s">
        <v>77</v>
      </c>
      <c r="C41" s="44"/>
      <c r="D41" s="44"/>
      <c r="E41" s="16">
        <f>596.29*1.98*1</f>
        <v>1180.6542</v>
      </c>
    </row>
    <row r="42" spans="2:5" s="13" customFormat="1" ht="12" customHeight="1">
      <c r="B42" s="41" t="s">
        <v>81</v>
      </c>
      <c r="C42" s="41"/>
      <c r="D42" s="41"/>
      <c r="E42" s="16">
        <f>0.0045*23808</f>
        <v>107.136</v>
      </c>
    </row>
    <row r="43" spans="2:5" s="13" customFormat="1" ht="12" customHeight="1">
      <c r="B43" s="41" t="s">
        <v>82</v>
      </c>
      <c r="C43" s="41"/>
      <c r="D43" s="41"/>
      <c r="E43" s="19">
        <f>554.2*2</f>
        <v>1108.4</v>
      </c>
    </row>
    <row r="44" spans="2:5" ht="12" customHeight="1">
      <c r="B44" s="42" t="s">
        <v>83</v>
      </c>
      <c r="C44" s="34"/>
      <c r="D44" s="34"/>
      <c r="E44" s="18">
        <v>13682</v>
      </c>
    </row>
    <row r="45" ht="15">
      <c r="E45" s="6">
        <f>SUM(E5:E44)</f>
        <v>565389.1001860001</v>
      </c>
    </row>
    <row r="46" spans="3:5" ht="12" customHeight="1">
      <c r="C46" s="7" t="s">
        <v>84</v>
      </c>
      <c r="D46" s="30">
        <f>'[2]Лист2'!$D$35</f>
        <v>644102.2699999999</v>
      </c>
      <c r="E46" s="31"/>
    </row>
    <row r="47" spans="3:5" ht="12" customHeight="1">
      <c r="C47" s="7" t="s">
        <v>10</v>
      </c>
      <c r="D47" s="35">
        <f>'[2]Лист2'!$E$35</f>
        <v>635056.1399999999</v>
      </c>
      <c r="E47" s="36"/>
    </row>
    <row r="48" spans="3:5" ht="12" customHeight="1">
      <c r="C48" s="7" t="s">
        <v>85</v>
      </c>
      <c r="D48" s="8"/>
      <c r="E48" s="9">
        <f>E45*1.18</f>
        <v>667159.13821948</v>
      </c>
    </row>
    <row r="49" ht="173.25" customHeight="1"/>
    <row r="50" ht="24" customHeight="1"/>
    <row r="51" ht="12" customHeight="1"/>
    <row r="52" ht="21" customHeight="1"/>
    <row r="53" ht="15" customHeight="1"/>
    <row r="54" ht="23.25" customHeight="1"/>
    <row r="55" ht="36" customHeight="1"/>
    <row r="56" ht="12" customHeight="1"/>
    <row r="57" ht="12" customHeight="1" hidden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6" customHeight="1"/>
    <row r="65" ht="6" customHeight="1"/>
    <row r="66" ht="6" customHeight="1"/>
    <row r="67" ht="6" customHeight="1"/>
    <row r="68" s="10" customFormat="1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s="11" customFormat="1" ht="12" customHeight="1"/>
    <row r="77" s="11" customFormat="1" ht="12" customHeight="1"/>
    <row r="78" s="10" customFormat="1" ht="12" customHeight="1"/>
    <row r="79" s="10" customFormat="1" ht="12" customHeight="1"/>
    <row r="80" ht="12" customHeight="1"/>
    <row r="81" s="10" customFormat="1" ht="12" customHeight="1"/>
    <row r="82" s="10" customFormat="1" ht="12" customHeight="1"/>
    <row r="83" ht="12" customHeight="1"/>
    <row r="84" s="10" customFormat="1" ht="12" customHeight="1"/>
    <row r="85" s="13" customFormat="1" ht="12" customHeight="1"/>
    <row r="86" ht="12" customHeight="1"/>
    <row r="87" s="12" customFormat="1" ht="12" customHeight="1"/>
    <row r="88" s="12" customFormat="1" ht="12" customHeight="1"/>
    <row r="89" s="12" customFormat="1" ht="12" customHeight="1"/>
    <row r="90" s="13" customFormat="1" ht="12" customHeight="1"/>
    <row r="92" ht="12" customHeight="1"/>
    <row r="93" ht="12" customHeight="1"/>
    <row r="94" ht="12" customHeight="1"/>
    <row r="95" ht="225" customHeight="1"/>
    <row r="96" ht="24" customHeight="1"/>
    <row r="97" ht="12" customHeight="1"/>
    <row r="98" ht="21" customHeight="1"/>
    <row r="99" ht="15" customHeight="1"/>
    <row r="100" ht="23.25" customHeight="1"/>
    <row r="101" ht="36" customHeight="1"/>
    <row r="102" ht="12" customHeight="1"/>
    <row r="103" ht="12" customHeight="1" hidden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6" customHeight="1"/>
    <row r="111" ht="6" customHeight="1"/>
    <row r="112" ht="6" customHeight="1"/>
    <row r="113" ht="6" customHeight="1"/>
    <row r="114" s="10" customFormat="1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s="11" customFormat="1" ht="12" customHeight="1"/>
    <row r="122" s="11" customFormat="1" ht="12" customHeight="1"/>
    <row r="123" s="10" customFormat="1" ht="12" customHeight="1"/>
    <row r="124" s="10" customFormat="1" ht="12" customHeight="1"/>
    <row r="125" s="10" customFormat="1" ht="12" customHeight="1"/>
    <row r="126" ht="12" customHeight="1"/>
    <row r="127" s="13" customFormat="1" ht="12" customHeight="1"/>
    <row r="128" ht="12" customHeight="1"/>
    <row r="129" s="13" customFormat="1" ht="12" customHeight="1"/>
    <row r="130" s="13" customFormat="1" ht="12" customHeight="1"/>
    <row r="131" s="12" customFormat="1" ht="12" customHeight="1"/>
    <row r="132" s="13" customFormat="1" ht="12" customHeight="1"/>
    <row r="133" ht="12" customHeight="1"/>
    <row r="134" s="13" customFormat="1" ht="13.5" customHeight="1"/>
    <row r="135" s="13" customFormat="1" ht="12" customHeight="1"/>
    <row r="136" s="12" customFormat="1" ht="12" customHeight="1"/>
    <row r="137" s="12" customFormat="1" ht="12" customHeight="1"/>
    <row r="139" ht="12" customHeight="1"/>
    <row r="140" ht="12" customHeight="1"/>
    <row r="141" ht="12" customHeight="1"/>
    <row r="142" ht="210" customHeight="1"/>
    <row r="143" ht="24" customHeight="1"/>
    <row r="144" ht="12" customHeight="1"/>
    <row r="145" ht="21" customHeight="1"/>
    <row r="146" ht="15" customHeight="1"/>
    <row r="147" ht="23.25" customHeight="1"/>
    <row r="148" ht="36" customHeight="1"/>
    <row r="149" ht="12" customHeight="1"/>
    <row r="150" ht="12" customHeight="1" hidden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6" customHeight="1"/>
    <row r="158" ht="6" customHeight="1"/>
    <row r="159" ht="6" customHeight="1"/>
    <row r="160" ht="6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s="11" customFormat="1" ht="12" customHeight="1"/>
    <row r="168" s="11" customFormat="1" ht="12" customHeight="1"/>
    <row r="169" s="11" customFormat="1" ht="12" customHeight="1"/>
    <row r="170" s="10" customFormat="1" ht="12" customHeight="1"/>
    <row r="171" s="13" customFormat="1" ht="12" customHeight="1"/>
    <row r="172" s="13" customFormat="1" ht="12" customHeight="1"/>
    <row r="173" s="12" customFormat="1" ht="12" customHeight="1"/>
    <row r="175" ht="12" customHeight="1"/>
    <row r="176" ht="12" customHeight="1"/>
    <row r="177" ht="12" customHeight="1"/>
    <row r="178" ht="345.75" customHeight="1"/>
    <row r="179" ht="24" customHeight="1"/>
    <row r="180" ht="12" customHeight="1"/>
    <row r="181" ht="21" customHeight="1"/>
    <row r="182" ht="15" customHeight="1"/>
    <row r="183" ht="23.25" customHeight="1"/>
    <row r="184" ht="36" customHeight="1"/>
    <row r="185" ht="12" customHeight="1"/>
    <row r="186" ht="12" customHeight="1" hidden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6" customHeight="1"/>
    <row r="194" ht="6" customHeight="1"/>
    <row r="195" ht="6" customHeight="1"/>
    <row r="196" ht="6" customHeight="1"/>
    <row r="197" s="10" customFormat="1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s="11" customFormat="1" ht="12" customHeight="1"/>
    <row r="205" s="10" customFormat="1" ht="12" customHeight="1"/>
    <row r="206" ht="12" customHeight="1"/>
    <row r="207" s="13" customFormat="1" ht="12" customHeight="1"/>
    <row r="208" s="12" customFormat="1" ht="12" customHeight="1"/>
    <row r="209" s="13" customFormat="1" ht="12" customHeight="1"/>
    <row r="210" s="12" customFormat="1" ht="12" customHeight="1"/>
    <row r="211" s="13" customFormat="1" ht="12" customHeight="1"/>
    <row r="212" s="13" customFormat="1" ht="12" customHeight="1"/>
    <row r="214" ht="12" customHeight="1"/>
    <row r="215" ht="12" customHeight="1"/>
    <row r="216" ht="12" customHeight="1"/>
    <row r="217" ht="238.5" customHeight="1"/>
  </sheetData>
  <sheetProtection password="CCE3" sheet="1" objects="1" scenarios="1" selectLockedCells="1" selectUnlockedCells="1"/>
  <mergeCells count="47">
    <mergeCell ref="H3:L3"/>
    <mergeCell ref="B23:D23"/>
    <mergeCell ref="B26:D26"/>
    <mergeCell ref="B27:D27"/>
    <mergeCell ref="B40:D40"/>
    <mergeCell ref="B42:D42"/>
    <mergeCell ref="B6:D6"/>
    <mergeCell ref="B7:D7"/>
    <mergeCell ref="B14:D14"/>
    <mergeCell ref="B8:D8"/>
    <mergeCell ref="B41:D41"/>
    <mergeCell ref="B32:D32"/>
    <mergeCell ref="B20:D20"/>
    <mergeCell ref="B21:D21"/>
    <mergeCell ref="B24:D24"/>
    <mergeCell ref="B39:D39"/>
    <mergeCell ref="B35:D35"/>
    <mergeCell ref="B44:D44"/>
    <mergeCell ref="B36:D36"/>
    <mergeCell ref="B19:D19"/>
    <mergeCell ref="E15:E16"/>
    <mergeCell ref="B17:D18"/>
    <mergeCell ref="E17:E18"/>
    <mergeCell ref="B15:D16"/>
    <mergeCell ref="B38:D38"/>
    <mergeCell ref="B43:D43"/>
    <mergeCell ref="B22:D22"/>
    <mergeCell ref="A1:G1"/>
    <mergeCell ref="B37:D37"/>
    <mergeCell ref="B25:D25"/>
    <mergeCell ref="B34:D34"/>
    <mergeCell ref="B10:D10"/>
    <mergeCell ref="B12:D12"/>
    <mergeCell ref="B11:D11"/>
    <mergeCell ref="B5:D5"/>
    <mergeCell ref="B33:D33"/>
    <mergeCell ref="B30:D30"/>
    <mergeCell ref="D46:E46"/>
    <mergeCell ref="B2:D2"/>
    <mergeCell ref="B28:D28"/>
    <mergeCell ref="D47:E47"/>
    <mergeCell ref="B3:D3"/>
    <mergeCell ref="B4:E4"/>
    <mergeCell ref="B31:D31"/>
    <mergeCell ref="B13:D13"/>
    <mergeCell ref="B9:D9"/>
    <mergeCell ref="B29:D29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3" width="9.140625" style="25" customWidth="1"/>
    <col min="4" max="4" width="22.7109375" style="25" customWidth="1"/>
    <col min="5" max="5" width="11.421875" style="25" bestFit="1" customWidth="1"/>
    <col min="6" max="16384" width="9.140625" style="25" customWidth="1"/>
  </cols>
  <sheetData>
    <row r="1" spans="2:5" s="22" customFormat="1" ht="37.5" customHeight="1">
      <c r="B1" s="46" t="s">
        <v>38</v>
      </c>
      <c r="C1" s="46"/>
      <c r="D1" s="46"/>
      <c r="E1" s="22">
        <v>2.05</v>
      </c>
    </row>
    <row r="2" spans="2:5" s="22" customFormat="1" ht="46.5" customHeight="1">
      <c r="B2" s="46" t="s">
        <v>33</v>
      </c>
      <c r="C2" s="46"/>
      <c r="D2" s="46"/>
      <c r="E2" s="22">
        <v>2.05</v>
      </c>
    </row>
    <row r="3" spans="2:5" s="22" customFormat="1" ht="12" customHeight="1">
      <c r="B3" s="46" t="s">
        <v>34</v>
      </c>
      <c r="C3" s="46"/>
      <c r="D3" s="46"/>
      <c r="E3" s="22">
        <v>2.05</v>
      </c>
    </row>
    <row r="4" spans="2:5" s="22" customFormat="1" ht="22.5" customHeight="1">
      <c r="B4" s="46" t="s">
        <v>36</v>
      </c>
      <c r="C4" s="46"/>
      <c r="D4" s="46"/>
      <c r="E4" s="23">
        <v>121.53</v>
      </c>
    </row>
    <row r="5" spans="2:5" s="22" customFormat="1" ht="12" customHeight="1">
      <c r="B5" s="46" t="s">
        <v>18</v>
      </c>
      <c r="C5" s="46"/>
      <c r="D5" s="46"/>
      <c r="E5" s="23">
        <v>0.76</v>
      </c>
    </row>
    <row r="6" spans="2:5" s="22" customFormat="1" ht="12" customHeight="1">
      <c r="B6" s="46" t="s">
        <v>20</v>
      </c>
      <c r="C6" s="46"/>
      <c r="D6" s="46"/>
      <c r="E6" s="23">
        <v>4.53</v>
      </c>
    </row>
    <row r="7" spans="2:5" s="22" customFormat="1" ht="12" customHeight="1">
      <c r="B7" s="46" t="s">
        <v>21</v>
      </c>
      <c r="C7" s="46"/>
      <c r="D7" s="46"/>
      <c r="E7" s="23">
        <v>286.7</v>
      </c>
    </row>
    <row r="8" spans="2:5" s="22" customFormat="1" ht="22.5" customHeight="1">
      <c r="B8" s="46" t="s">
        <v>39</v>
      </c>
      <c r="C8" s="46"/>
      <c r="D8" s="46"/>
      <c r="E8" s="23">
        <v>0.37</v>
      </c>
    </row>
    <row r="9" spans="2:5" s="22" customFormat="1" ht="12" customHeight="1">
      <c r="B9" s="46" t="s">
        <v>19</v>
      </c>
      <c r="C9" s="46"/>
      <c r="D9" s="46"/>
      <c r="E9" s="23">
        <v>0.54</v>
      </c>
    </row>
    <row r="10" spans="2:5" s="22" customFormat="1" ht="12" customHeight="1">
      <c r="B10" s="46"/>
      <c r="C10" s="46"/>
      <c r="D10" s="46"/>
      <c r="E10" s="23"/>
    </row>
    <row r="11" spans="2:5" s="22" customFormat="1" ht="12" customHeight="1">
      <c r="B11" s="46"/>
      <c r="C11" s="46"/>
      <c r="D11" s="46"/>
      <c r="E11" s="23"/>
    </row>
    <row r="12" ht="15">
      <c r="B12" s="24" t="s">
        <v>51</v>
      </c>
    </row>
    <row r="13" spans="2:5" s="22" customFormat="1" ht="12" customHeight="1">
      <c r="B13" s="46" t="s">
        <v>8</v>
      </c>
      <c r="C13" s="46"/>
      <c r="D13" s="46"/>
      <c r="E13" s="26">
        <f>80.14</f>
        <v>80.14</v>
      </c>
    </row>
    <row r="14" spans="2:5" s="22" customFormat="1" ht="12" customHeight="1">
      <c r="B14" s="46" t="s">
        <v>52</v>
      </c>
      <c r="C14" s="46"/>
      <c r="D14" s="46"/>
      <c r="E14" s="26">
        <f>1271+428.51</f>
        <v>1699.51</v>
      </c>
    </row>
    <row r="15" spans="2:5" s="22" customFormat="1" ht="12" customHeight="1">
      <c r="B15" s="46" t="s">
        <v>47</v>
      </c>
      <c r="C15" s="46"/>
      <c r="D15" s="46"/>
      <c r="E15" s="23">
        <v>141.22</v>
      </c>
    </row>
    <row r="16" spans="2:5" s="22" customFormat="1" ht="12" customHeight="1">
      <c r="B16" s="46" t="s">
        <v>48</v>
      </c>
      <c r="C16" s="46"/>
      <c r="D16" s="46"/>
      <c r="E16" s="23">
        <v>160.58</v>
      </c>
    </row>
    <row r="17" spans="2:5" s="22" customFormat="1" ht="12" customHeight="1">
      <c r="B17" s="46" t="s">
        <v>49</v>
      </c>
      <c r="C17" s="46"/>
      <c r="D17" s="46"/>
      <c r="E17" s="23">
        <v>50</v>
      </c>
    </row>
    <row r="18" spans="2:5" s="22" customFormat="1" ht="12" customHeight="1">
      <c r="B18" s="46" t="s">
        <v>50</v>
      </c>
      <c r="C18" s="46"/>
      <c r="D18" s="46"/>
      <c r="E18" s="23">
        <v>558.75</v>
      </c>
    </row>
    <row r="19" spans="2:5" s="22" customFormat="1" ht="12" customHeight="1">
      <c r="B19" s="46" t="s">
        <v>13</v>
      </c>
      <c r="C19" s="46"/>
      <c r="D19" s="46"/>
      <c r="E19" s="23">
        <v>112</v>
      </c>
    </row>
    <row r="20" spans="2:5" s="22" customFormat="1" ht="12" customHeight="1">
      <c r="B20" s="46" t="s">
        <v>13</v>
      </c>
      <c r="C20" s="46"/>
      <c r="D20" s="46"/>
      <c r="E20" s="23">
        <v>112</v>
      </c>
    </row>
    <row r="21" spans="2:5" s="22" customFormat="1" ht="12" customHeight="1">
      <c r="B21" s="46" t="s">
        <v>63</v>
      </c>
      <c r="C21" s="46"/>
      <c r="D21" s="46"/>
      <c r="E21" s="23">
        <v>731.09</v>
      </c>
    </row>
    <row r="22" spans="2:5" s="22" customFormat="1" ht="36" customHeight="1">
      <c r="B22" s="46" t="s">
        <v>64</v>
      </c>
      <c r="C22" s="46"/>
      <c r="D22" s="46"/>
      <c r="E22" s="23">
        <v>542.01</v>
      </c>
    </row>
    <row r="23" spans="2:5" s="22" customFormat="1" ht="12" customHeight="1">
      <c r="B23" s="46" t="s">
        <v>27</v>
      </c>
      <c r="C23" s="46"/>
      <c r="D23" s="46"/>
      <c r="E23" s="23">
        <v>3820</v>
      </c>
    </row>
    <row r="24" spans="2:5" s="22" customFormat="1" ht="12" customHeight="1">
      <c r="B24" s="46" t="s">
        <v>65</v>
      </c>
      <c r="C24" s="46"/>
      <c r="D24" s="46"/>
      <c r="E24" s="23">
        <v>556.16</v>
      </c>
    </row>
    <row r="25" spans="2:5" s="22" customFormat="1" ht="12" customHeight="1">
      <c r="B25" s="46" t="s">
        <v>73</v>
      </c>
      <c r="C25" s="46"/>
      <c r="D25" s="46"/>
      <c r="E25" s="23">
        <v>580.1</v>
      </c>
    </row>
    <row r="26" spans="2:5" s="22" customFormat="1" ht="12" customHeight="1">
      <c r="B26" s="27"/>
      <c r="C26" s="27"/>
      <c r="D26" s="27"/>
      <c r="E26" s="23"/>
    </row>
    <row r="27" spans="2:5" s="22" customFormat="1" ht="25.5" customHeight="1">
      <c r="B27" s="46" t="s">
        <v>29</v>
      </c>
      <c r="C27" s="46"/>
      <c r="D27" s="46"/>
      <c r="E27" s="23">
        <v>577.18</v>
      </c>
    </row>
    <row r="28" spans="2:5" s="22" customFormat="1" ht="24.75" customHeight="1">
      <c r="B28" s="46" t="s">
        <v>16</v>
      </c>
      <c r="C28" s="46"/>
      <c r="D28" s="46"/>
      <c r="E28" s="23">
        <v>629.02</v>
      </c>
    </row>
    <row r="29" spans="2:5" s="22" customFormat="1" ht="24.75" customHeight="1">
      <c r="B29" s="46" t="s">
        <v>7</v>
      </c>
      <c r="C29" s="46"/>
      <c r="D29" s="46"/>
      <c r="E29" s="23">
        <v>728.7</v>
      </c>
    </row>
    <row r="30" spans="2:5" s="22" customFormat="1" ht="24.75" customHeight="1">
      <c r="B30" s="46" t="s">
        <v>53</v>
      </c>
      <c r="C30" s="46"/>
      <c r="D30" s="46"/>
      <c r="E30" s="23">
        <v>783.57</v>
      </c>
    </row>
    <row r="31" spans="2:5" s="22" customFormat="1" ht="24.75" customHeight="1">
      <c r="B31" s="46" t="s">
        <v>22</v>
      </c>
      <c r="C31" s="46"/>
      <c r="D31" s="46"/>
      <c r="E31" s="23">
        <v>907.6</v>
      </c>
    </row>
    <row r="32" spans="2:5" s="22" customFormat="1" ht="24.75" customHeight="1">
      <c r="B32" s="46" t="s">
        <v>26</v>
      </c>
      <c r="C32" s="46"/>
      <c r="D32" s="46"/>
      <c r="E32" s="23">
        <v>1098.59</v>
      </c>
    </row>
    <row r="33" spans="2:5" s="22" customFormat="1" ht="24.75" customHeight="1">
      <c r="B33" s="46" t="s">
        <v>30</v>
      </c>
      <c r="C33" s="46"/>
      <c r="D33" s="46"/>
      <c r="E33" s="23">
        <v>1917.18</v>
      </c>
    </row>
    <row r="34" spans="2:5" s="22" customFormat="1" ht="24.75" customHeight="1">
      <c r="B34" s="46" t="s">
        <v>54</v>
      </c>
      <c r="C34" s="46"/>
      <c r="D34" s="46"/>
      <c r="E34" s="23">
        <f>E33</f>
        <v>1917.18</v>
      </c>
    </row>
    <row r="35" spans="2:5" s="22" customFormat="1" ht="12" customHeight="1">
      <c r="B35" s="46"/>
      <c r="C35" s="46"/>
      <c r="D35" s="46"/>
      <c r="E35" s="23"/>
    </row>
    <row r="36" spans="2:5" s="22" customFormat="1" ht="12" customHeight="1">
      <c r="B36" s="46"/>
      <c r="C36" s="46"/>
      <c r="D36" s="46"/>
      <c r="E36" s="23"/>
    </row>
    <row r="37" spans="2:5" s="22" customFormat="1" ht="42" customHeight="1">
      <c r="B37" s="46" t="s">
        <v>17</v>
      </c>
      <c r="C37" s="46"/>
      <c r="D37" s="46"/>
      <c r="E37" s="23">
        <v>1285.22</v>
      </c>
    </row>
    <row r="38" spans="2:5" s="22" customFormat="1" ht="24.75" customHeight="1">
      <c r="B38" s="46" t="s">
        <v>9</v>
      </c>
      <c r="C38" s="46"/>
      <c r="D38" s="46"/>
      <c r="E38" s="23">
        <v>223.42</v>
      </c>
    </row>
    <row r="39" spans="2:5" s="22" customFormat="1" ht="24.75" customHeight="1">
      <c r="B39" s="28"/>
      <c r="C39" s="28"/>
      <c r="D39" s="28"/>
      <c r="E39" s="23"/>
    </row>
    <row r="40" spans="2:5" s="22" customFormat="1" ht="22.5" customHeight="1">
      <c r="B40" s="46" t="s">
        <v>3</v>
      </c>
      <c r="C40" s="46"/>
      <c r="D40" s="46"/>
      <c r="E40" s="23">
        <v>482.38</v>
      </c>
    </row>
    <row r="41" spans="2:5" s="22" customFormat="1" ht="22.5" customHeight="1">
      <c r="B41" s="28"/>
      <c r="C41" s="28"/>
      <c r="D41" s="28"/>
      <c r="E41" s="23"/>
    </row>
    <row r="42" spans="2:5" s="22" customFormat="1" ht="37.5" customHeight="1">
      <c r="B42" s="46" t="s">
        <v>28</v>
      </c>
      <c r="C42" s="46"/>
      <c r="D42" s="46"/>
      <c r="E42" s="23">
        <v>1541.75</v>
      </c>
    </row>
    <row r="43" spans="2:5" s="22" customFormat="1" ht="37.5" customHeight="1">
      <c r="B43" s="46" t="s">
        <v>2</v>
      </c>
      <c r="C43" s="46"/>
      <c r="D43" s="46"/>
      <c r="E43" s="23">
        <v>1730.92</v>
      </c>
    </row>
    <row r="44" spans="2:5" s="22" customFormat="1" ht="37.5" customHeight="1">
      <c r="B44" s="46" t="s">
        <v>25</v>
      </c>
      <c r="C44" s="46"/>
      <c r="D44" s="46"/>
      <c r="E44" s="23">
        <v>2554.33</v>
      </c>
    </row>
    <row r="45" spans="2:5" s="22" customFormat="1" ht="37.5" customHeight="1">
      <c r="B45" s="46" t="s">
        <v>56</v>
      </c>
      <c r="C45" s="46"/>
      <c r="D45" s="46"/>
      <c r="E45" s="23">
        <v>2623.43</v>
      </c>
    </row>
    <row r="46" spans="2:5" s="22" customFormat="1" ht="37.5" customHeight="1">
      <c r="B46" s="46" t="s">
        <v>55</v>
      </c>
      <c r="C46" s="46"/>
      <c r="D46" s="46"/>
      <c r="E46" s="23">
        <v>2719.26</v>
      </c>
    </row>
    <row r="47" spans="2:5" s="22" customFormat="1" ht="14.25" customHeight="1">
      <c r="B47" s="46" t="s">
        <v>57</v>
      </c>
      <c r="C47" s="46"/>
      <c r="D47" s="46"/>
      <c r="E47" s="23">
        <v>2096.57</v>
      </c>
    </row>
    <row r="48" spans="2:5" s="22" customFormat="1" ht="15">
      <c r="B48" s="46" t="s">
        <v>58</v>
      </c>
      <c r="C48" s="46"/>
      <c r="D48" s="46"/>
      <c r="E48" s="23">
        <f>E54*2</f>
        <v>1441.68</v>
      </c>
    </row>
    <row r="49" spans="2:5" s="22" customFormat="1" ht="15">
      <c r="B49" s="46" t="s">
        <v>59</v>
      </c>
      <c r="C49" s="46"/>
      <c r="D49" s="46"/>
      <c r="E49" s="23">
        <f>E54+E55</f>
        <v>1613.3200000000002</v>
      </c>
    </row>
    <row r="50" spans="2:5" s="22" customFormat="1" ht="14.25" customHeight="1">
      <c r="B50" s="46" t="s">
        <v>31</v>
      </c>
      <c r="C50" s="46"/>
      <c r="D50" s="46"/>
      <c r="E50" s="23">
        <f>E54+E56</f>
        <v>1719.76</v>
      </c>
    </row>
    <row r="51" spans="2:5" s="22" customFormat="1" ht="14.25" customHeight="1">
      <c r="B51" s="46" t="s">
        <v>44</v>
      </c>
      <c r="C51" s="46"/>
      <c r="D51" s="46"/>
      <c r="E51" s="23">
        <f>E54+E57</f>
        <v>1761.5619003228362</v>
      </c>
    </row>
    <row r="52" spans="2:5" s="22" customFormat="1" ht="14.25" customHeight="1">
      <c r="B52" s="46" t="s">
        <v>74</v>
      </c>
      <c r="C52" s="46"/>
      <c r="D52" s="46"/>
      <c r="E52" s="23">
        <v>2540</v>
      </c>
    </row>
    <row r="53" spans="2:5" s="22" customFormat="1" ht="12" customHeight="1">
      <c r="B53" s="46"/>
      <c r="C53" s="46"/>
      <c r="D53" s="46"/>
      <c r="E53" s="23"/>
    </row>
    <row r="54" spans="2:5" s="22" customFormat="1" ht="15">
      <c r="B54" s="46" t="s">
        <v>66</v>
      </c>
      <c r="C54" s="46"/>
      <c r="D54" s="46"/>
      <c r="E54" s="23">
        <v>720.84</v>
      </c>
    </row>
    <row r="55" spans="2:5" s="22" customFormat="1" ht="15" customHeight="1">
      <c r="B55" s="46" t="s">
        <v>67</v>
      </c>
      <c r="C55" s="46"/>
      <c r="D55" s="46"/>
      <c r="E55" s="23">
        <v>892.48</v>
      </c>
    </row>
    <row r="56" spans="2:5" s="22" customFormat="1" ht="14.25" customHeight="1">
      <c r="B56" s="46" t="s">
        <v>68</v>
      </c>
      <c r="C56" s="46"/>
      <c r="D56" s="46"/>
      <c r="E56" s="23">
        <v>998.92</v>
      </c>
    </row>
    <row r="57" spans="2:5" s="22" customFormat="1" ht="14.25" customHeight="1">
      <c r="B57" s="46" t="s">
        <v>69</v>
      </c>
      <c r="C57" s="46"/>
      <c r="D57" s="46"/>
      <c r="E57" s="3">
        <f>'[1]2017 год'!$J$166</f>
        <v>1040.7219003228363</v>
      </c>
    </row>
    <row r="58" spans="2:6" s="22" customFormat="1" ht="15" customHeight="1">
      <c r="B58" s="46" t="s">
        <v>70</v>
      </c>
      <c r="C58" s="46"/>
      <c r="D58" s="46"/>
      <c r="E58" s="3">
        <f>'[1]2017 год'!$J$177</f>
        <v>1423.8940268246333</v>
      </c>
      <c r="F58" s="29"/>
    </row>
    <row r="59" spans="2:5" s="22" customFormat="1" ht="15" customHeight="1">
      <c r="B59" s="46"/>
      <c r="C59" s="46"/>
      <c r="D59" s="46"/>
      <c r="E59" s="3"/>
    </row>
    <row r="60" spans="2:6" s="22" customFormat="1" ht="15" customHeight="1">
      <c r="B60" s="46" t="s">
        <v>71</v>
      </c>
      <c r="C60" s="46"/>
      <c r="D60" s="46"/>
      <c r="E60" s="3">
        <f>'[1]2017 год'!$J$189</f>
        <v>7669.393914751781</v>
      </c>
      <c r="F60" s="29"/>
    </row>
    <row r="61" spans="2:5" s="22" customFormat="1" ht="15" customHeight="1">
      <c r="B61" s="46" t="s">
        <v>72</v>
      </c>
      <c r="C61" s="46"/>
      <c r="D61" s="46"/>
      <c r="E61" s="3">
        <f>'[1]2017 год'!$J$201</f>
        <v>11278.410667718827</v>
      </c>
    </row>
    <row r="62" spans="2:5" s="22" customFormat="1" ht="14.25" customHeight="1">
      <c r="B62" s="28"/>
      <c r="C62" s="28"/>
      <c r="D62" s="28"/>
      <c r="E62" s="23"/>
    </row>
    <row r="63" spans="2:5" s="22" customFormat="1" ht="12" customHeight="1">
      <c r="B63" s="46" t="s">
        <v>60</v>
      </c>
      <c r="C63" s="46"/>
      <c r="D63" s="46"/>
      <c r="E63" s="23">
        <v>68.68</v>
      </c>
    </row>
    <row r="64" spans="2:5" s="22" customFormat="1" ht="12" customHeight="1">
      <c r="B64" s="46"/>
      <c r="C64" s="46"/>
      <c r="D64" s="46"/>
      <c r="E64" s="23"/>
    </row>
    <row r="65" spans="2:5" s="22" customFormat="1" ht="22.5" customHeight="1">
      <c r="B65" s="46" t="s">
        <v>15</v>
      </c>
      <c r="C65" s="46"/>
      <c r="D65" s="46"/>
      <c r="E65" s="23">
        <v>565.23</v>
      </c>
    </row>
    <row r="66" spans="2:5" s="22" customFormat="1" ht="23.25" customHeight="1">
      <c r="B66" s="46" t="s">
        <v>14</v>
      </c>
      <c r="C66" s="46"/>
      <c r="D66" s="46"/>
      <c r="E66" s="23">
        <v>283.85</v>
      </c>
    </row>
    <row r="67" spans="2:5" s="22" customFormat="1" ht="40.5" customHeight="1">
      <c r="B67" s="46" t="s">
        <v>61</v>
      </c>
      <c r="C67" s="46"/>
      <c r="D67" s="46"/>
      <c r="E67" s="23">
        <v>1396.29</v>
      </c>
    </row>
    <row r="68" spans="2:5" s="22" customFormat="1" ht="27" customHeight="1">
      <c r="B68" s="46" t="s">
        <v>62</v>
      </c>
      <c r="C68" s="46"/>
      <c r="D68" s="46"/>
      <c r="E68" s="23">
        <v>517.87</v>
      </c>
    </row>
  </sheetData>
  <sheetProtection password="C657" sheet="1"/>
  <mergeCells count="63">
    <mergeCell ref="B49:D49"/>
    <mergeCell ref="B50:D50"/>
    <mergeCell ref="B67:D67"/>
    <mergeCell ref="B68:D68"/>
    <mergeCell ref="B53:D53"/>
    <mergeCell ref="B51:D51"/>
    <mergeCell ref="B63:D63"/>
    <mergeCell ref="B64:D64"/>
    <mergeCell ref="B65:D65"/>
    <mergeCell ref="B66:D66"/>
    <mergeCell ref="B43:D43"/>
    <mergeCell ref="B44:D44"/>
    <mergeCell ref="B45:D45"/>
    <mergeCell ref="B46:D46"/>
    <mergeCell ref="B47:D47"/>
    <mergeCell ref="B48:D48"/>
    <mergeCell ref="B56:D56"/>
    <mergeCell ref="B59:D59"/>
    <mergeCell ref="B18:D18"/>
    <mergeCell ref="B19:D19"/>
    <mergeCell ref="B14:D14"/>
    <mergeCell ref="B23:D23"/>
    <mergeCell ref="B27:D27"/>
    <mergeCell ref="B28:D28"/>
    <mergeCell ref="B21:D21"/>
    <mergeCell ref="B22:D22"/>
    <mergeCell ref="B24:D24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20:D20"/>
    <mergeCell ref="B13:D13"/>
    <mergeCell ref="B15:D15"/>
    <mergeCell ref="B16:D16"/>
    <mergeCell ref="B17:D17"/>
    <mergeCell ref="B30:D30"/>
    <mergeCell ref="B31:D31"/>
    <mergeCell ref="B32:D32"/>
    <mergeCell ref="B57:D57"/>
    <mergeCell ref="B37:D37"/>
    <mergeCell ref="B38:D38"/>
    <mergeCell ref="B40:D40"/>
    <mergeCell ref="B42:D42"/>
    <mergeCell ref="B54:D54"/>
    <mergeCell ref="B55:D55"/>
    <mergeCell ref="B58:D58"/>
    <mergeCell ref="B60:D60"/>
    <mergeCell ref="B61:D61"/>
    <mergeCell ref="B25:D25"/>
    <mergeCell ref="B33:D33"/>
    <mergeCell ref="B34:D34"/>
    <mergeCell ref="B35:D35"/>
    <mergeCell ref="B36:D36"/>
    <mergeCell ref="B52:D52"/>
    <mergeCell ref="B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SMETCHIK</cp:lastModifiedBy>
  <cp:lastPrinted>2019-03-25T09:42:34Z</cp:lastPrinted>
  <dcterms:created xsi:type="dcterms:W3CDTF">2018-02-22T04:59:03Z</dcterms:created>
  <dcterms:modified xsi:type="dcterms:W3CDTF">2019-10-29T04:06:58Z</dcterms:modified>
  <cp:category/>
  <cp:version/>
  <cp:contentType/>
  <cp:contentStatus/>
</cp:coreProperties>
</file>