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<sst xmlns="http://schemas.openxmlformats.org/spreadsheetml/2006/main" count="57" uniqueCount="57">
  <si>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</si>
  <si>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</si>
  <si>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</si>
  <si>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</si>
  <si>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</si>
  <si>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</si>
  <si>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</si>
  <si>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</si>
  <si>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</si>
  <si>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</si>
  <si>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</si>
  <si>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</si>
  <si>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</si>
  <si>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</si>
  <si>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</si>
  <si>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Ремонт лавочек</t>
  </si>
  <si>
    <t>Смена внутренних трубопроводов из стальных труб диаметром: до 15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</si>
  <si>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</si>
  <si>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</si>
  <si>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</si>
  <si>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</si>
  <si>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</si>
  <si>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</si>
  <si>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</si>
  <si>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</si>
  <si>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</si>
  <si>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</si>
  <si>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</si>
  <si>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</si>
  <si>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</si>
  <si>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 xml:space="preserve">Адрес дома: ЛЕНИНА ПР., 96 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</si>
  <si>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</si>
  <si>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</si>
  <si>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</si>
  <si>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Замена отметов</t>
  </si>
  <si>
    <t>Отчет о работах, выполненных за период с Января 2019 г. по Декабрь 2019 г.</t>
  </si>
  <si>
    <t>Замена светодиодных прожекторов</t>
  </si>
  <si>
    <t>Прокладка кабеля АВВГ 2*2,5</t>
  </si>
  <si>
    <t>Замена распределительной коробки</t>
  </si>
  <si>
    <t>Ремонт перил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</si>
  <si>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</si>
  <si>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</si>
  <si>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</si>
  <si>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</si>
  <si>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</si>
  <si>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</si>
  <si>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информационных досок</t>
  </si>
  <si>
    <t>Замена фотореле</t>
  </si>
  <si>
    <t xml:space="preserve">Смена ламп: светодиодных </t>
  </si>
  <si>
    <t>Замена датчиков движения</t>
  </si>
  <si>
    <t>Установка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</si>
  <si>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</si>
  <si>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</si>
  <si>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трансформаторов тока</t>
  </si>
  <si>
    <t xml:space="preserve">Предохранитель, устанавливаемый на изоляционном основании, на ток: до 100 А </t>
  </si>
  <si>
    <t>Ремонт м/п швов, кв.10</t>
  </si>
  <si>
    <t>Замена счетчиков, устанавливаемых на готовом основании: трехфазные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</si>
</sst>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7" fillId="35" borderId="0" xfId="0" applyNumberFormat="1" applyFont="1" applyFill="1" applyAlignment="1">
      <alignment wrapText="1"/>
    </xf>
    <xf numFmtId="0" fontId="29" fillId="35" borderId="0" xfId="45" applyFill="1" applyAlignment="1" quotePrefix="1">
      <alignment horizontal="right" vertical="top" wrapText="1"/>
      <protection/>
    </xf>
    <xf numFmtId="4" fontId="29" fillId="35" borderId="11" xfId="39" applyNumberFormat="1" applyFill="1" applyBorder="1" applyAlignment="1" quotePrefix="1">
      <alignment vertical="top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39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30" fillId="35" borderId="12" xfId="42" applyNumberFormat="1" applyFill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2" fontId="49" fillId="35" borderId="11" xfId="0" applyNumberFormat="1" applyFont="1" applyFill="1" applyBorder="1" applyAlignment="1">
      <alignment vertical="center" wrapText="1"/>
    </xf>
    <xf numFmtId="0" fontId="0" fillId="35" borderId="0" xfId="0" applyFill="1" applyAlignment="1">
      <alignment wrapText="1"/>
    </xf>
    <xf numFmtId="4" fontId="30" fillId="35" borderId="13" xfId="42" applyNumberFormat="1" applyFill="1" applyBorder="1" applyAlignment="1" quotePrefix="1">
      <alignment horizontal="right" vertical="center" wrapText="1"/>
      <protection/>
    </xf>
    <xf numFmtId="4" fontId="30" fillId="35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35" borderId="0" xfId="33" applyFill="1" applyAlignment="1" quotePrefix="1">
      <alignment horizontal="center" vertical="center" wrapText="1"/>
      <protection/>
    </xf>
    <xf numFmtId="0" fontId="30" fillId="35" borderId="14" xfId="43" applyFill="1" applyBorder="1" applyAlignment="1" quotePrefix="1">
      <alignment horizontal="left" vertical="top" wrapText="1"/>
      <protection/>
    </xf>
    <xf numFmtId="0" fontId="30" fillId="35" borderId="15" xfId="43" applyFill="1" applyBorder="1" applyAlignment="1" quotePrefix="1">
      <alignment horizontal="left" vertical="top" wrapText="1"/>
      <protection/>
    </xf>
    <xf numFmtId="0" fontId="30" fillId="35" borderId="16" xfId="43" applyFill="1" applyBorder="1" applyAlignment="1" quotePrefix="1">
      <alignment horizontal="left" vertical="top" wrapText="1"/>
      <protection/>
    </xf>
    <xf numFmtId="0" fontId="30" fillId="35" borderId="17" xfId="43" applyFill="1" applyBorder="1" applyAlignment="1" quotePrefix="1">
      <alignment horizontal="left" vertical="top" wrapText="1"/>
      <protection/>
    </xf>
    <xf numFmtId="0" fontId="30" fillId="35" borderId="18" xfId="43" applyFill="1" applyBorder="1" applyAlignment="1" quotePrefix="1">
      <alignment horizontal="left" vertical="top" wrapText="1"/>
      <protection/>
    </xf>
    <xf numFmtId="0" fontId="30" fillId="35" borderId="19" xfId="43" applyFill="1" applyBorder="1" applyAlignment="1" quotePrefix="1">
      <alignment horizontal="left" vertical="top" wrapText="1"/>
      <protection/>
    </xf>
    <xf numFmtId="0" fontId="30" fillId="36" borderId="20" xfId="40" applyFill="1" applyBorder="1" applyAlignment="1" quotePrefix="1">
      <alignment horizontal="left" vertical="center" wrapText="1"/>
      <protection/>
    </xf>
    <xf numFmtId="0" fontId="30" fillId="36" borderId="0" xfId="40" applyFill="1" applyBorder="1" applyAlignment="1" quotePrefix="1">
      <alignment horizontal="left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29" fillId="21" borderId="22" xfId="41" applyBorder="1" applyAlignment="1" quotePrefix="1">
      <alignment horizontal="center" vertical="center" wrapText="1"/>
      <protection/>
    </xf>
    <xf numFmtId="0" fontId="29" fillId="21" borderId="23" xfId="41" applyBorder="1" applyAlignment="1" quotePrefix="1">
      <alignment horizontal="center" vertical="center" wrapText="1"/>
      <protection/>
    </xf>
    <xf numFmtId="0" fontId="29" fillId="35" borderId="11" xfId="34" applyFill="1" applyBorder="1" applyAlignment="1" quotePrefix="1">
      <alignment horizontal="left" vertical="center" wrapText="1"/>
      <protection/>
    </xf>
    <xf numFmtId="0" fontId="30" fillId="35" borderId="24" xfId="43" applyFill="1" applyBorder="1" applyAlignment="1" quotePrefix="1">
      <alignment horizontal="left" vertical="top" wrapText="1"/>
      <protection/>
    </xf>
    <xf numFmtId="0" fontId="30" fillId="35" borderId="25" xfId="43" applyFill="1" applyBorder="1" applyAlignment="1" quotePrefix="1">
      <alignment horizontal="left" vertical="top" wrapText="1"/>
      <protection/>
    </xf>
    <xf numFmtId="0" fontId="30" fillId="35" borderId="26" xfId="43" applyFill="1" applyBorder="1" applyAlignment="1" quotePrefix="1">
      <alignment horizontal="left" vertical="top" wrapText="1"/>
      <protection/>
    </xf>
    <xf numFmtId="0" fontId="30" fillId="35" borderId="27" xfId="43" applyFill="1" applyBorder="1" applyAlignment="1" quotePrefix="1">
      <alignment horizontal="left" vertical="top" wrapText="1"/>
      <protection/>
    </xf>
    <xf numFmtId="0" fontId="30" fillId="35" borderId="28" xfId="43" applyFill="1" applyBorder="1" applyAlignment="1" quotePrefix="1">
      <alignment horizontal="left" vertical="top" wrapText="1"/>
      <protection/>
    </xf>
    <xf numFmtId="0" fontId="30" fillId="35" borderId="29" xfId="43" applyFill="1" applyBorder="1" applyAlignment="1" quotePrefix="1">
      <alignment horizontal="left" vertical="top" wrapText="1"/>
      <protection/>
    </xf>
    <xf numFmtId="4" fontId="30" fillId="35" borderId="13" xfId="42" applyNumberFormat="1" applyFill="1" applyBorder="1" applyAlignment="1" quotePrefix="1">
      <alignment horizontal="right" vertical="center" wrapText="1"/>
      <protection/>
    </xf>
    <xf numFmtId="4" fontId="30" fillId="35" borderId="30" xfId="42" applyNumberFormat="1" applyFill="1" applyBorder="1" applyAlignment="1" quotePrefix="1">
      <alignment horizontal="right" vertical="center" wrapText="1"/>
      <protection/>
    </xf>
    <xf numFmtId="0" fontId="30" fillId="35" borderId="14" xfId="37" applyFill="1" applyBorder="1" applyAlignment="1" quotePrefix="1">
      <alignment horizontal="left" vertical="top" wrapText="1"/>
      <protection/>
    </xf>
    <xf numFmtId="0" fontId="30" fillId="35" borderId="15" xfId="37" applyFill="1" applyBorder="1" applyAlignment="1" quotePrefix="1">
      <alignment horizontal="left" vertical="top" wrapText="1"/>
      <protection/>
    </xf>
    <xf numFmtId="0" fontId="30" fillId="35" borderId="16" xfId="37" applyFill="1" applyBorder="1" applyAlignment="1" quotePrefix="1">
      <alignment horizontal="left" vertical="top" wrapText="1"/>
      <protection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4" xfId="37" applyFont="1" applyFill="1" applyBorder="1" applyAlignment="1" quotePrefix="1">
      <alignment horizontal="left" vertical="top" wrapText="1"/>
      <protection/>
    </xf>
    <xf numFmtId="0" fontId="30" fillId="0" borderId="15" xfId="37" applyFont="1" applyFill="1" applyBorder="1" applyAlignment="1" quotePrefix="1">
      <alignment horizontal="left" vertical="top" wrapText="1"/>
      <protection/>
    </xf>
    <xf numFmtId="0" fontId="30" fillId="0" borderId="16" xfId="37" applyFont="1" applyFill="1" applyBorder="1" applyAlignment="1" quotePrefix="1">
      <alignment horizontal="left" vertical="top" wrapText="1"/>
      <protection/>
    </xf>
    <xf numFmtId="0" fontId="2" fillId="0" borderId="14" xfId="43" applyFont="1" applyFill="1" applyBorder="1" applyAlignment="1" quotePrefix="1">
      <alignment horizontal="left" vertical="top" wrapText="1"/>
      <protection/>
    </xf>
    <xf numFmtId="0" fontId="2" fillId="0" borderId="15" xfId="43" applyFont="1" applyFill="1" applyBorder="1" applyAlignment="1" quotePrefix="1">
      <alignment horizontal="left" vertical="top" wrapText="1"/>
      <protection/>
    </xf>
    <xf numFmtId="0" fontId="2" fillId="0" borderId="16" xfId="43" applyFont="1" applyFill="1" applyBorder="1" applyAlignment="1" quotePrefix="1">
      <alignment horizontal="left" vertical="top" wrapText="1"/>
      <protection/>
    </xf>
    <xf numFmtId="4" fontId="29" fillId="35" borderId="31" xfId="46" applyNumberFormat="1" applyFill="1" applyBorder="1" applyAlignment="1" quotePrefix="1">
      <alignment horizontal="right" vertical="top" wrapText="1"/>
      <protection/>
    </xf>
    <xf numFmtId="0" fontId="0" fillId="37" borderId="14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4" fontId="29" fillId="35" borderId="0" xfId="39" applyNumberFormat="1" applyFill="1" applyAlignment="1" quotePrefix="1">
      <alignment horizontal="righ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B55">
            <v>677670.29</v>
          </cell>
          <cell r="C55">
            <v>669346.1700000002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0" zoomScaleNormal="110" workbookViewId="0" topLeftCell="A1">
      <selection activeCell="D54" sqref="D54"/>
    </sheetView>
  </sheetViews>
  <sheetFormatPr defaultColWidth="9.140625" defaultRowHeight="15"/>
  <cols>
    <col min="1" max="1" width="2.140625" style="3" customWidth="1"/>
    <col min="2" max="2" width="6.8515625" style="3" customWidth="1"/>
    <col min="3" max="3" width="32.57421875" style="3" customWidth="1"/>
    <col min="4" max="4" width="33.00390625" style="3" customWidth="1"/>
    <col min="5" max="5" width="12.140625" style="3" customWidth="1"/>
    <col min="6" max="6" width="13.8515625" style="3" customWidth="1"/>
    <col min="7" max="7" width="3.7109375" style="3" customWidth="1"/>
    <col min="8" max="9" width="11.57421875" style="3" bestFit="1" customWidth="1"/>
    <col min="10" max="16384" width="9.140625" style="3" customWidth="1"/>
  </cols>
  <sheetData>
    <row r="1" spans="1:7" s="4" customFormat="1" ht="24" customHeight="1">
      <c r="A1" s="34" t="s">
        <v>35</v>
      </c>
      <c r="B1" s="34"/>
      <c r="C1" s="34"/>
      <c r="D1" s="34"/>
      <c r="E1" s="34"/>
      <c r="F1" s="34"/>
      <c r="G1" s="34"/>
    </row>
    <row r="2" spans="2:5" ht="12" customHeight="1">
      <c r="B2" s="46" t="s">
        <v>0</v>
      </c>
      <c r="C2" s="46"/>
      <c r="D2" s="46"/>
      <c r="E2" s="5"/>
    </row>
    <row r="3" spans="2:12" ht="21" customHeight="1">
      <c r="B3" s="43" t="s">
        <v>1</v>
      </c>
      <c r="C3" s="44"/>
      <c r="D3" s="45"/>
      <c r="E3" s="16" t="s">
        <v>45</v>
      </c>
      <c r="H3" s="68" t="s">
        <v>41</v>
      </c>
      <c r="I3" s="69"/>
      <c r="J3" s="69"/>
      <c r="K3" s="69"/>
      <c r="L3" s="70"/>
    </row>
    <row r="4" spans="2:12" ht="15" customHeight="1" thickBot="1">
      <c r="B4" s="41" t="s">
        <v>30</v>
      </c>
      <c r="C4" s="42"/>
      <c r="D4" s="42"/>
      <c r="E4" s="42"/>
      <c r="H4" s="17" t="s">
        <v>17</v>
      </c>
      <c r="I4" s="17" t="s">
        <v>42</v>
      </c>
      <c r="J4" s="17" t="s">
        <v>29</v>
      </c>
      <c r="K4" s="17" t="s">
        <v>43</v>
      </c>
      <c r="L4" s="17" t="s">
        <v>44</v>
      </c>
    </row>
    <row r="5" spans="2:12" ht="23.25" customHeight="1" thickBot="1">
      <c r="B5" s="38" t="s">
        <v>23</v>
      </c>
      <c r="C5" s="39"/>
      <c r="D5" s="40"/>
      <c r="E5" s="20">
        <f>2.05*J5*12+J5*2*2.05+2.05*4*J5</f>
        <v>32503.734</v>
      </c>
      <c r="H5" s="1">
        <v>80</v>
      </c>
      <c r="I5" s="1">
        <v>3496.4</v>
      </c>
      <c r="J5" s="1">
        <v>880.86</v>
      </c>
      <c r="K5" s="1">
        <f>J5</f>
        <v>880.86</v>
      </c>
      <c r="L5" s="2">
        <v>56</v>
      </c>
    </row>
    <row r="6" spans="2:9" ht="36" customHeight="1">
      <c r="B6" s="35" t="s">
        <v>18</v>
      </c>
      <c r="C6" s="36"/>
      <c r="D6" s="37"/>
      <c r="E6" s="21">
        <f>(I5*2.05*2)</f>
        <v>14335.24</v>
      </c>
      <c r="I6" s="28"/>
    </row>
    <row r="7" spans="2:9" ht="12" customHeight="1">
      <c r="B7" s="35" t="s">
        <v>19</v>
      </c>
      <c r="C7" s="36"/>
      <c r="D7" s="37"/>
      <c r="E7" s="21">
        <f>I5*2.05*2</f>
        <v>14335.24</v>
      </c>
      <c r="I7" s="25"/>
    </row>
    <row r="8" spans="2:5" ht="15" customHeight="1" hidden="1">
      <c r="B8" s="35" t="s">
        <v>20</v>
      </c>
      <c r="C8" s="36"/>
      <c r="D8" s="37"/>
      <c r="E8" s="21"/>
    </row>
    <row r="9" spans="2:5" ht="24.75" customHeight="1">
      <c r="B9" s="35" t="s">
        <v>21</v>
      </c>
      <c r="C9" s="36"/>
      <c r="D9" s="37"/>
      <c r="E9" s="21">
        <f>(3*121.53*2*I5/1000)*3</f>
        <v>7648.514856000002</v>
      </c>
    </row>
    <row r="10" spans="2:5" ht="12" customHeight="1">
      <c r="B10" s="35" t="s">
        <v>9</v>
      </c>
      <c r="C10" s="36"/>
      <c r="D10" s="37"/>
      <c r="E10" s="21">
        <f>12*I5*0.83</f>
        <v>34824.144</v>
      </c>
    </row>
    <row r="11" spans="2:5" ht="12" customHeight="1">
      <c r="B11" s="35" t="s">
        <v>11</v>
      </c>
      <c r="C11" s="36"/>
      <c r="D11" s="37"/>
      <c r="E11" s="21">
        <f>12*I5*6.05</f>
        <v>253838.64</v>
      </c>
    </row>
    <row r="12" spans="2:5" ht="12" customHeight="1">
      <c r="B12" s="35" t="s">
        <v>12</v>
      </c>
      <c r="C12" s="36"/>
      <c r="D12" s="37"/>
      <c r="E12" s="21">
        <f>1*L5*286.7</f>
        <v>16055.199999999999</v>
      </c>
    </row>
    <row r="13" spans="2:5" ht="12" customHeight="1">
      <c r="B13" s="35" t="s">
        <v>10</v>
      </c>
      <c r="C13" s="36"/>
      <c r="D13" s="37"/>
      <c r="E13" s="21">
        <f>12*I5*0.54</f>
        <v>22656.672000000002</v>
      </c>
    </row>
    <row r="14" spans="2:5" ht="12" customHeight="1">
      <c r="B14" s="55" t="s">
        <v>14</v>
      </c>
      <c r="C14" s="56"/>
      <c r="D14" s="57"/>
      <c r="E14" s="21">
        <v>15000</v>
      </c>
    </row>
    <row r="15" spans="2:5" ht="6" customHeight="1">
      <c r="B15" s="47" t="s">
        <v>13</v>
      </c>
      <c r="C15" s="48"/>
      <c r="D15" s="49"/>
      <c r="E15" s="53">
        <f>12*I5*0.64</f>
        <v>26852.352000000003</v>
      </c>
    </row>
    <row r="16" spans="2:5" ht="6" customHeight="1">
      <c r="B16" s="50"/>
      <c r="C16" s="51"/>
      <c r="D16" s="52"/>
      <c r="E16" s="54"/>
    </row>
    <row r="17" spans="2:5" ht="6" customHeight="1">
      <c r="B17" s="47" t="s">
        <v>22</v>
      </c>
      <c r="C17" s="48"/>
      <c r="D17" s="49"/>
      <c r="E17" s="53">
        <f>12*I5*1.42</f>
        <v>59578.656</v>
      </c>
    </row>
    <row r="18" spans="2:5" ht="6" customHeight="1">
      <c r="B18" s="50"/>
      <c r="C18" s="51"/>
      <c r="D18" s="52"/>
      <c r="E18" s="54"/>
    </row>
    <row r="19" spans="2:5" ht="12" customHeight="1">
      <c r="B19" s="35" t="s">
        <v>24</v>
      </c>
      <c r="C19" s="36"/>
      <c r="D19" s="37"/>
      <c r="E19" s="21">
        <f>12*I5*0.37</f>
        <v>15524.016000000001</v>
      </c>
    </row>
    <row r="20" spans="2:5" ht="12" customHeight="1">
      <c r="B20" s="35" t="s">
        <v>25</v>
      </c>
      <c r="C20" s="36"/>
      <c r="D20" s="37"/>
      <c r="E20" s="21">
        <f>H5*2*70%*2*137.35*0.38</f>
        <v>11691.232</v>
      </c>
    </row>
    <row r="21" spans="2:5" ht="12" customHeight="1">
      <c r="B21" s="35" t="s">
        <v>26</v>
      </c>
      <c r="C21" s="36"/>
      <c r="D21" s="37"/>
      <c r="E21" s="21">
        <f>H5*70%*2*137.35*0.38</f>
        <v>5845.616</v>
      </c>
    </row>
    <row r="22" spans="2:5" s="9" customFormat="1" ht="12" customHeight="1">
      <c r="B22" s="35" t="s">
        <v>27</v>
      </c>
      <c r="C22" s="36"/>
      <c r="D22" s="37"/>
      <c r="E22" s="15">
        <f>68.68*15</f>
        <v>1030.2</v>
      </c>
    </row>
    <row r="23" spans="2:5" s="9" customFormat="1" ht="12" customHeight="1">
      <c r="B23" s="35" t="s">
        <v>2</v>
      </c>
      <c r="C23" s="36"/>
      <c r="D23" s="37"/>
      <c r="E23" s="15">
        <f>68.68*20</f>
        <v>1373.6000000000001</v>
      </c>
    </row>
    <row r="24" spans="2:5" s="9" customFormat="1" ht="13.5" customHeight="1">
      <c r="B24" s="35" t="s">
        <v>28</v>
      </c>
      <c r="C24" s="36"/>
      <c r="D24" s="37"/>
      <c r="E24" s="15">
        <f>68.68*15</f>
        <v>1030.2</v>
      </c>
    </row>
    <row r="25" spans="2:5" s="31" customFormat="1" ht="12" customHeight="1">
      <c r="B25" s="58" t="s">
        <v>38</v>
      </c>
      <c r="C25" s="59"/>
      <c r="D25" s="60"/>
      <c r="E25" s="24">
        <f>112.6*2</f>
        <v>225.2</v>
      </c>
    </row>
    <row r="26" spans="2:5" s="31" customFormat="1" ht="12" customHeight="1">
      <c r="B26" s="58" t="s">
        <v>53</v>
      </c>
      <c r="C26" s="59"/>
      <c r="D26" s="60"/>
      <c r="E26" s="24">
        <f>880*3</f>
        <v>2640</v>
      </c>
    </row>
    <row r="27" spans="2:5" s="23" customFormat="1" ht="12" customHeight="1">
      <c r="B27" s="64" t="s">
        <v>56</v>
      </c>
      <c r="C27" s="65"/>
      <c r="D27" s="66"/>
      <c r="E27" s="30">
        <f>7054*3</f>
        <v>21162</v>
      </c>
    </row>
    <row r="28" spans="2:5" s="31" customFormat="1" ht="14.25" customHeight="1">
      <c r="B28" s="58" t="s">
        <v>51</v>
      </c>
      <c r="C28" s="59"/>
      <c r="D28" s="60"/>
      <c r="E28" s="27">
        <f>50.89*15</f>
        <v>763.35</v>
      </c>
    </row>
    <row r="29" spans="2:5" s="31" customFormat="1" ht="12" customHeight="1">
      <c r="B29" s="58" t="s">
        <v>54</v>
      </c>
      <c r="C29" s="59"/>
      <c r="D29" s="60"/>
      <c r="E29" s="27">
        <f>'[2]на июль 15г'!$J$333*6</f>
        <v>5734.057159693099</v>
      </c>
    </row>
    <row r="30" spans="2:5" s="33" customFormat="1" ht="12" customHeight="1">
      <c r="B30" s="58" t="s">
        <v>36</v>
      </c>
      <c r="C30" s="59"/>
      <c r="D30" s="60"/>
      <c r="E30" s="27">
        <f>3*'[1]на июль 15г'!$J$238</f>
        <v>15312.306139059074</v>
      </c>
    </row>
    <row r="31" spans="2:5" s="31" customFormat="1" ht="25.5" customHeight="1">
      <c r="B31" s="61" t="s">
        <v>32</v>
      </c>
      <c r="C31" s="62"/>
      <c r="D31" s="63"/>
      <c r="E31" s="27">
        <f>2*'[1]на июль 15г'!$J$290</f>
        <v>1218.0985294724248</v>
      </c>
    </row>
    <row r="32" spans="2:5" s="33" customFormat="1" ht="12" customHeight="1">
      <c r="B32" s="58" t="s">
        <v>47</v>
      </c>
      <c r="C32" s="59"/>
      <c r="D32" s="60"/>
      <c r="E32" s="27">
        <f>3*'[1]на июль 15г'!$J$277</f>
        <v>2506.5003622086374</v>
      </c>
    </row>
    <row r="33" spans="2:5" s="31" customFormat="1" ht="14.25" customHeight="1">
      <c r="B33" s="58" t="s">
        <v>52</v>
      </c>
      <c r="C33" s="59"/>
      <c r="D33" s="60"/>
      <c r="E33" s="26">
        <f>6*'[1]на июль 15г'!$J$198</f>
        <v>987.0482654850978</v>
      </c>
    </row>
    <row r="34" spans="2:5" s="31" customFormat="1" ht="12" customHeight="1">
      <c r="B34" s="58" t="s">
        <v>50</v>
      </c>
      <c r="C34" s="59"/>
      <c r="D34" s="60"/>
      <c r="E34" s="27">
        <f>3*'[2]на июль 15г'!$J$988</f>
        <v>2258.910535459341</v>
      </c>
    </row>
    <row r="35" spans="2:5" s="31" customFormat="1" ht="15" customHeight="1">
      <c r="B35" s="58" t="s">
        <v>37</v>
      </c>
      <c r="C35" s="59"/>
      <c r="D35" s="60"/>
      <c r="E35" s="26">
        <f>36*'[4]на июль 15г'!$J$1057</f>
        <v>4121.3873087122865</v>
      </c>
    </row>
    <row r="36" spans="2:5" s="31" customFormat="1" ht="12" customHeight="1">
      <c r="B36" s="58" t="s">
        <v>49</v>
      </c>
      <c r="C36" s="59"/>
      <c r="D36" s="60"/>
      <c r="E36" s="27">
        <f>1*'[1]на июль 15г'!$J$277</f>
        <v>835.5001207362125</v>
      </c>
    </row>
    <row r="37" spans="2:5" s="31" customFormat="1" ht="12" customHeight="1">
      <c r="B37" s="58" t="s">
        <v>31</v>
      </c>
      <c r="C37" s="59"/>
      <c r="D37" s="60"/>
      <c r="E37" s="27">
        <f>5*'[1]на июль 15г'!$J$323</f>
        <v>499.8774741255236</v>
      </c>
    </row>
    <row r="38" spans="2:5" s="31" customFormat="1" ht="14.25" customHeight="1">
      <c r="B38" s="58" t="s">
        <v>48</v>
      </c>
      <c r="C38" s="59"/>
      <c r="D38" s="60"/>
      <c r="E38" s="26">
        <f>19*'[1]на июль 15г'!$J$211</f>
        <v>1094.5905990634042</v>
      </c>
    </row>
    <row r="39" spans="2:5" s="31" customFormat="1" ht="13.5" customHeight="1">
      <c r="B39" s="58" t="s">
        <v>5</v>
      </c>
      <c r="C39" s="59"/>
      <c r="D39" s="60"/>
      <c r="E39" s="26">
        <f>14*'[1]на июль 15г'!$J$211</f>
        <v>806.5404414151399</v>
      </c>
    </row>
    <row r="40" spans="2:5" s="31" customFormat="1" ht="12" customHeight="1">
      <c r="B40" s="58" t="s">
        <v>4</v>
      </c>
      <c r="C40" s="59"/>
      <c r="D40" s="60"/>
      <c r="E40" s="27">
        <f>4*'[1]на июль 15г'!$J$264</f>
        <v>283.5772870495433</v>
      </c>
    </row>
    <row r="41" spans="2:6" s="13" customFormat="1" ht="12" customHeight="1">
      <c r="B41" s="58" t="s">
        <v>16</v>
      </c>
      <c r="C41" s="59"/>
      <c r="D41" s="60"/>
      <c r="E41" s="27">
        <f>3*'[1]на июль 15г'!$J$434</f>
        <v>1837.091766792827</v>
      </c>
      <c r="F41" s="12"/>
    </row>
    <row r="42" spans="2:6" s="13" customFormat="1" ht="12" customHeight="1">
      <c r="B42" s="58" t="s">
        <v>8</v>
      </c>
      <c r="C42" s="59"/>
      <c r="D42" s="60"/>
      <c r="E42" s="27">
        <f>3*'[1]на июль 15г'!$J$444</f>
        <v>2053.847464447497</v>
      </c>
      <c r="F42" s="14"/>
    </row>
    <row r="43" spans="2:6" s="11" customFormat="1" ht="12" customHeight="1">
      <c r="B43" s="58" t="s">
        <v>3</v>
      </c>
      <c r="C43" s="59"/>
      <c r="D43" s="60"/>
      <c r="E43" s="27">
        <f>3*'[1]на июль 15г'!$J$454</f>
        <v>2591.7806636673554</v>
      </c>
      <c r="F43" s="14"/>
    </row>
    <row r="44" spans="2:5" s="29" customFormat="1" ht="12.75" customHeight="1">
      <c r="B44" s="58" t="s">
        <v>7</v>
      </c>
      <c r="C44" s="59"/>
      <c r="D44" s="60"/>
      <c r="E44" s="24">
        <f>2201.44+550.57+3000</f>
        <v>5752.01</v>
      </c>
    </row>
    <row r="45" spans="2:5" s="19" customFormat="1" ht="12" customHeight="1">
      <c r="B45" s="58" t="s">
        <v>34</v>
      </c>
      <c r="C45" s="59"/>
      <c r="D45" s="60"/>
      <c r="E45" s="24">
        <f>641.75</f>
        <v>641.75</v>
      </c>
    </row>
    <row r="46" spans="2:5" s="22" customFormat="1" ht="12" customHeight="1">
      <c r="B46" s="58" t="s">
        <v>39</v>
      </c>
      <c r="C46" s="59"/>
      <c r="D46" s="60"/>
      <c r="E46" s="24">
        <f>1540.6</f>
        <v>1540.6</v>
      </c>
    </row>
    <row r="47" spans="2:5" s="10" customFormat="1" ht="12" customHeight="1">
      <c r="B47" s="58" t="s">
        <v>15</v>
      </c>
      <c r="C47" s="59"/>
      <c r="D47" s="60"/>
      <c r="E47" s="24">
        <f>274</f>
        <v>274</v>
      </c>
    </row>
    <row r="48" spans="2:5" s="32" customFormat="1" ht="12" customHeight="1">
      <c r="B48" s="58" t="s">
        <v>55</v>
      </c>
      <c r="C48" s="59"/>
      <c r="D48" s="60"/>
      <c r="E48" s="24">
        <f>3093.78</f>
        <v>3093.78</v>
      </c>
    </row>
    <row r="49" spans="2:5" s="10" customFormat="1" ht="12" customHeight="1">
      <c r="B49" s="58" t="s">
        <v>46</v>
      </c>
      <c r="C49" s="59"/>
      <c r="D49" s="60"/>
      <c r="E49" s="26">
        <v>1018</v>
      </c>
    </row>
    <row r="50" ht="15">
      <c r="E50" s="6">
        <f>SUM(E5:E49)</f>
        <v>613375.0609733872</v>
      </c>
    </row>
    <row r="51" spans="3:5" ht="12" customHeight="1">
      <c r="C51" s="7" t="s">
        <v>33</v>
      </c>
      <c r="D51" s="67">
        <f>'[3]Лист1'!$B$55</f>
        <v>677670.29</v>
      </c>
      <c r="E51" s="67"/>
    </row>
    <row r="52" spans="3:5" ht="12" customHeight="1">
      <c r="C52" s="7" t="s">
        <v>6</v>
      </c>
      <c r="D52" s="71">
        <f>'[3]Лист1'!$C$55</f>
        <v>669346.1700000002</v>
      </c>
      <c r="E52" s="71"/>
    </row>
    <row r="53" spans="3:6" ht="12" customHeight="1">
      <c r="C53" s="7" t="s">
        <v>40</v>
      </c>
      <c r="D53" s="8"/>
      <c r="E53" s="18">
        <f>E50</f>
        <v>613375.0609733872</v>
      </c>
      <c r="F53" s="5"/>
    </row>
  </sheetData>
  <sheetProtection password="CCF3" sheet="1" objects="1" scenarios="1" selectLockedCells="1" selectUnlockedCells="1"/>
  <mergeCells count="52">
    <mergeCell ref="D52:E52"/>
    <mergeCell ref="E17:E18"/>
    <mergeCell ref="B48:D48"/>
    <mergeCell ref="D51:E51"/>
    <mergeCell ref="B46:D46"/>
    <mergeCell ref="B45:D45"/>
    <mergeCell ref="H3:L3"/>
    <mergeCell ref="B47:D47"/>
    <mergeCell ref="B49:D49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9:D19"/>
    <mergeCell ref="B17:D18"/>
    <mergeCell ref="E15:E16"/>
    <mergeCell ref="B15:D16"/>
    <mergeCell ref="B14:D14"/>
    <mergeCell ref="B13:D13"/>
    <mergeCell ref="B12:D12"/>
    <mergeCell ref="B11:D11"/>
    <mergeCell ref="B10:D10"/>
    <mergeCell ref="B9:D9"/>
    <mergeCell ref="B8:D8"/>
    <mergeCell ref="A1:G1"/>
    <mergeCell ref="B7:D7"/>
    <mergeCell ref="B6:D6"/>
    <mergeCell ref="B5:D5"/>
    <mergeCell ref="B4:E4"/>
    <mergeCell ref="B3:D3"/>
    <mergeCell ref="B2:D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2020-03-27T02:59:28Z</dcterms:modified>
  <cp:category/>
  <cp:version/>
  <cp:contentType/>
  <cp:contentStatus/>
</cp:coreProperties>
</file>