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/>
  <calcPr calcMode="autoNoTable" fullCalcOnLoad="1"/>
</workbook>
</file>

<file path=xl/sharedStrings.xml><?xml version="1.0" encoding="utf-8"?>
<sst xmlns="http://schemas.openxmlformats.org/spreadsheetml/2006/main" count="76" uniqueCount="75">
  <si>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</si>
  <si>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</si>
  <si>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</si>
  <si>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</si>
  <si>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</si>
  <si>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</si>
  <si>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</si>
  <si>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Опиловка деревьев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</si>
  <si>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</si>
  <si>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</si>
  <si>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</si>
  <si>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</si>
  <si>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</si>
  <si>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</si>
  <si>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</si>
  <si>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</si>
  <si>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Установка урн</t>
  </si>
  <si>
    <t>Смена внутренних трубопроводов из стальных труб диаметром: до 15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</si>
  <si>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</si>
  <si>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</si>
  <si>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</si>
  <si>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</si>
  <si>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</si>
  <si>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</si>
  <si>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</si>
  <si>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</si>
  <si>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</si>
  <si>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</si>
  <si>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</si>
  <si>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</si>
  <si>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Ремонт отмостки</t>
  </si>
  <si>
    <t>Адрес дома: ВОЛГОГРАДСКАЯ, 17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</si>
  <si>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</si>
  <si>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</si>
  <si>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</si>
  <si>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</si>
  <si>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</si>
  <si>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</si>
  <si>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</si>
  <si>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патронов</t>
  </si>
  <si>
    <t>Автомат одно-, двух-, трехполюсный, устанавливаемый на конструкции: на стене или колонне, на ток до 100 А</t>
  </si>
  <si>
    <t>Начислено по дому:</t>
  </si>
  <si>
    <t>Ремонт подвальных окон</t>
  </si>
  <si>
    <t>Ремонт крылец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</si>
  <si>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</si>
  <si>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110 мм</t>
  </si>
  <si>
    <t>Прокладка внутренних трубопроводов канализации из полипропил.труб диаметром: 110 мм</t>
  </si>
  <si>
    <t>Смена задвижек диаметром: 50 мм</t>
  </si>
  <si>
    <t>Смена внутренних трубопроводов из стальных труб диаметром: до 76 мм</t>
  </si>
  <si>
    <t>Смена задвижек диаметром: 80 мм</t>
  </si>
  <si>
    <t>Прокладка кабеля АВВГ 2*2,5</t>
  </si>
  <si>
    <t>Замена распределительной коробки</t>
  </si>
  <si>
    <t>Ремонт перил</t>
  </si>
  <si>
    <t>Ремонт водосточных труб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</si>
  <si>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</si>
  <si>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</si>
  <si>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</si>
  <si>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</si>
  <si>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</si>
  <si>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</si>
  <si>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Ремонт м/п швов, кв.8,13,61,64</t>
  </si>
  <si>
    <t>Покраска стены</t>
  </si>
  <si>
    <t>Утепление системы отопления в подвале</t>
  </si>
  <si>
    <t>Смена ламп: светодиодных</t>
  </si>
  <si>
    <t>Замена фотореле</t>
  </si>
  <si>
    <t>Монтаж светодиодных прожекторов</t>
  </si>
  <si>
    <t>Установка светильников</t>
  </si>
  <si>
    <t>Установка пружин на тамбурные двери</t>
  </si>
  <si>
    <t>Демонтаж кобры, установка светодиодных прожекторов</t>
  </si>
  <si>
    <t>Ремонт стены в подъезде, 2 подъезд</t>
  </si>
  <si>
    <t>Установка информационной доски</t>
  </si>
  <si>
    <t>Изготовление и установка металлической двери в эл. щитовую, 3 подъезд</t>
  </si>
  <si>
    <r>
      <t>Присоединение к зажимам жил проводов или кабелей сечением: до 2,5 мм</t>
    </r>
    <r>
      <rPr>
        <vertAlign val="superscript"/>
        <sz val="9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</si>
  <si>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rFont val="Arial"/>
        <family val="2"/>
      </rPr>
      <t>2</t>
    </r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</si>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</sst>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3" fillId="0" borderId="0">
      <alignment horizontal="right" vertical="top"/>
      <protection/>
    </xf>
    <xf numFmtId="0" fontId="34" fillId="0" borderId="0">
      <alignment horizontal="left" vertical="top"/>
      <protection/>
    </xf>
    <xf numFmtId="0" fontId="33" fillId="0" borderId="0">
      <alignment horizontal="left" vertical="top"/>
      <protection/>
    </xf>
    <xf numFmtId="0" fontId="33" fillId="0" borderId="0">
      <alignment horizontal="left" vertical="top"/>
      <protection/>
    </xf>
    <xf numFmtId="0" fontId="32" fillId="0" borderId="0">
      <alignment horizontal="right" vertical="top"/>
      <protection/>
    </xf>
    <xf numFmtId="0" fontId="33" fillId="20" borderId="0">
      <alignment horizontal="left" vertical="center"/>
      <protection/>
    </xf>
    <xf numFmtId="0" fontId="32" fillId="21" borderId="0">
      <alignment horizontal="center" vertical="center"/>
      <protection/>
    </xf>
    <xf numFmtId="0" fontId="33" fillId="0" borderId="0">
      <alignment horizontal="right" vertical="center"/>
      <protection/>
    </xf>
    <xf numFmtId="0" fontId="33" fillId="0" borderId="0">
      <alignment horizontal="left" vertical="top"/>
      <protection/>
    </xf>
    <xf numFmtId="0" fontId="33" fillId="0" borderId="0">
      <alignment horizontal="left" vertical="top"/>
      <protection/>
    </xf>
    <xf numFmtId="0" fontId="32" fillId="0" borderId="0">
      <alignment horizontal="right" vertical="top"/>
      <protection/>
    </xf>
    <xf numFmtId="0" fontId="32" fillId="0" borderId="0">
      <alignment horizontal="right" vertical="top"/>
      <protection/>
    </xf>
    <xf numFmtId="0" fontId="32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53" fillId="35" borderId="11" xfId="0" applyFont="1" applyFill="1" applyBorder="1" applyAlignment="1">
      <alignment wrapText="1"/>
    </xf>
    <xf numFmtId="0" fontId="53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3" fillId="0" borderId="12" xfId="42" applyNumberFormat="1" applyBorder="1" applyAlignment="1" quotePrefix="1">
      <alignment horizontal="right" vertical="center" wrapText="1"/>
      <protection/>
    </xf>
    <xf numFmtId="0" fontId="33" fillId="0" borderId="0" xfId="43" applyBorder="1" applyAlignment="1" quotePrefix="1">
      <alignment horizontal="left" vertical="top" wrapText="1"/>
      <protection/>
    </xf>
    <xf numFmtId="2" fontId="32" fillId="0" borderId="13" xfId="39" applyNumberFormat="1" applyBorder="1" applyAlignment="1" quotePrefix="1">
      <alignment vertical="top" wrapText="1"/>
      <protection/>
    </xf>
    <xf numFmtId="2" fontId="54" fillId="35" borderId="0" xfId="42" applyNumberFormat="1" applyFont="1" applyFill="1" applyBorder="1" applyAlignment="1" quotePrefix="1">
      <alignment horizontal="right" vertical="center" wrapText="1"/>
      <protection/>
    </xf>
    <xf numFmtId="0" fontId="32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3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2" xfId="0" applyFill="1" applyBorder="1" applyAlignment="1">
      <alignment horizontal="center" wrapText="1"/>
    </xf>
    <xf numFmtId="0" fontId="32" fillId="21" borderId="12" xfId="4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2" fontId="33" fillId="0" borderId="12" xfId="42" applyNumberFormat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2" fontId="33" fillId="0" borderId="14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28" fillId="0" borderId="0" xfId="0" applyFont="1" applyFill="1" applyAlignment="1">
      <alignment wrapText="1"/>
    </xf>
    <xf numFmtId="0" fontId="33" fillId="0" borderId="12" xfId="42" applyNumberFormat="1" applyFont="1" applyFill="1" applyBorder="1" applyAlignment="1" quotePrefix="1">
      <alignment horizontal="right" vertical="center" wrapText="1"/>
      <protection/>
    </xf>
    <xf numFmtId="2" fontId="33" fillId="0" borderId="12" xfId="42" applyNumberFormat="1" applyFont="1" applyFill="1" applyBorder="1" applyAlignment="1" quotePrefix="1">
      <alignment horizontal="right" vertical="center" wrapText="1"/>
      <protection/>
    </xf>
    <xf numFmtId="43" fontId="33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43" fontId="2" fillId="0" borderId="12" xfId="42" applyNumberFormat="1" applyFont="1" applyFill="1" applyBorder="1" applyAlignment="1" quotePrefix="1">
      <alignment horizontal="right" vertical="center" wrapText="1"/>
      <protection/>
    </xf>
    <xf numFmtId="2" fontId="2" fillId="0" borderId="12" xfId="42" applyNumberFormat="1" applyFont="1" applyFill="1" applyBorder="1" applyAlignment="1" quotePrefix="1">
      <alignment horizontal="right" vertical="center" wrapText="1"/>
      <protection/>
    </xf>
    <xf numFmtId="171" fontId="53" fillId="0" borderId="13" xfId="76" applyFont="1" applyBorder="1" applyAlignment="1">
      <alignment horizontal="right" vertical="center" wrapText="1"/>
    </xf>
    <xf numFmtId="0" fontId="2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3" fillId="0" borderId="12" xfId="43" applyFont="1" applyFill="1" applyBorder="1" applyAlignment="1" quotePrefix="1">
      <alignment horizontal="left" vertical="top" wrapText="1"/>
      <protection/>
    </xf>
    <xf numFmtId="0" fontId="33" fillId="0" borderId="15" xfId="43" applyFont="1" applyFill="1" applyBorder="1" applyAlignment="1" quotePrefix="1">
      <alignment horizontal="left" vertical="top" wrapText="1"/>
      <protection/>
    </xf>
    <xf numFmtId="0" fontId="33" fillId="0" borderId="16" xfId="43" applyFont="1" applyFill="1" applyBorder="1" applyAlignment="1" quotePrefix="1">
      <alignment horizontal="left" vertical="top" wrapText="1"/>
      <protection/>
    </xf>
    <xf numFmtId="0" fontId="33" fillId="0" borderId="17" xfId="43" applyFont="1" applyFill="1" applyBorder="1" applyAlignment="1" quotePrefix="1">
      <alignment horizontal="left" vertical="top" wrapText="1"/>
      <protection/>
    </xf>
    <xf numFmtId="0" fontId="33" fillId="0" borderId="12" xfId="43" applyBorder="1" applyAlignment="1" quotePrefix="1">
      <alignment horizontal="left" vertical="top" wrapText="1"/>
      <protection/>
    </xf>
    <xf numFmtId="0" fontId="2" fillId="0" borderId="12" xfId="43" applyFont="1" applyFill="1" applyBorder="1" applyAlignment="1" quotePrefix="1">
      <alignment horizontal="left" vertical="top" wrapText="1"/>
      <protection/>
    </xf>
    <xf numFmtId="0" fontId="2" fillId="0" borderId="12" xfId="37" applyFont="1" applyFill="1" applyBorder="1" applyAlignment="1" quotePrefix="1">
      <alignment horizontal="left" vertical="top" wrapText="1"/>
      <protection/>
    </xf>
    <xf numFmtId="0" fontId="33" fillId="0" borderId="18" xfId="43" applyBorder="1" applyAlignment="1" quotePrefix="1">
      <alignment horizontal="left" vertical="top" wrapText="1"/>
      <protection/>
    </xf>
    <xf numFmtId="0" fontId="33" fillId="0" borderId="19" xfId="43" applyBorder="1" applyAlignment="1" quotePrefix="1">
      <alignment horizontal="left" vertical="top" wrapText="1"/>
      <protection/>
    </xf>
    <xf numFmtId="0" fontId="32" fillId="20" borderId="18" xfId="40" applyFont="1" applyBorder="1" applyAlignment="1" quotePrefix="1">
      <alignment horizontal="left" vertical="center" wrapText="1"/>
      <protection/>
    </xf>
    <xf numFmtId="0" fontId="0" fillId="0" borderId="19" xfId="0" applyBorder="1" applyAlignment="1">
      <alignment wrapText="1"/>
    </xf>
    <xf numFmtId="0" fontId="33" fillId="0" borderId="12" xfId="37" applyBorder="1" applyAlignment="1" quotePrefix="1">
      <alignment horizontal="left" vertical="top" wrapText="1"/>
      <protection/>
    </xf>
    <xf numFmtId="4" fontId="32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32" fillId="0" borderId="20" xfId="47" applyNumberFormat="1" applyBorder="1" applyAlignment="1" quotePrefix="1">
      <alignment horizontal="right" vertical="top" wrapText="1"/>
      <protection/>
    </xf>
    <xf numFmtId="0" fontId="0" fillId="0" borderId="20" xfId="0" applyBorder="1" applyAlignment="1">
      <alignment wrapText="1"/>
    </xf>
    <xf numFmtId="0" fontId="33" fillId="0" borderId="12" xfId="37" applyFont="1" applyFill="1" applyBorder="1" applyAlignment="1" quotePrefix="1">
      <alignment horizontal="left" vertical="top" wrapText="1"/>
      <protection/>
    </xf>
    <xf numFmtId="0" fontId="31" fillId="0" borderId="0" xfId="33" applyAlignment="1" quotePrefix="1">
      <alignment horizontal="center" vertical="center" wrapText="1"/>
      <protection/>
    </xf>
    <xf numFmtId="2" fontId="33" fillId="0" borderId="12" xfId="42" applyNumberFormat="1" applyBorder="1" applyAlignment="1" quotePrefix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33" fillId="0" borderId="21" xfId="43" applyBorder="1" applyAlignment="1" quotePrefix="1">
      <alignment horizontal="left" vertical="top" wrapText="1"/>
      <protection/>
    </xf>
    <xf numFmtId="0" fontId="33" fillId="0" borderId="20" xfId="43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0" fontId="32" fillId="21" borderId="18" xfId="41" applyBorder="1" applyAlignment="1" quotePrefix="1">
      <alignment horizontal="center" vertical="center" wrapText="1"/>
      <protection/>
    </xf>
    <xf numFmtId="0" fontId="32" fillId="21" borderId="19" xfId="41" applyBorder="1" applyAlignment="1" quotePrefix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%20&#1048;&#1058;&#1054;&#10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504">
          <cell r="J504">
            <v>1764.1201997957446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54">
          <cell r="J654">
            <v>15556.733578840513</v>
          </cell>
        </row>
        <row r="677">
          <cell r="J677">
            <v>786.6130943054591</v>
          </cell>
        </row>
        <row r="699">
          <cell r="J699">
            <v>1392.239787079781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333">
          <cell r="J333">
            <v>955.6761932821831</v>
          </cell>
        </row>
        <row r="988">
          <cell r="J988">
            <v>752.970178486447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B21">
            <v>367373.11000000004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C21">
            <v>360025.64780000004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110" zoomScaleNormal="110" zoomScalePageLayoutView="0" workbookViewId="0" topLeftCell="A1">
      <selection activeCell="B56" sqref="B56:D56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7109375" style="1" customWidth="1"/>
    <col min="4" max="4" width="9.7109375" style="1" customWidth="1"/>
    <col min="5" max="5" width="12.57421875" style="8" customWidth="1"/>
    <col min="6" max="6" width="16.00390625" style="1" customWidth="1"/>
    <col min="7" max="7" width="6.140625" style="1" customWidth="1"/>
    <col min="8" max="8" width="11.421875" style="1" bestFit="1" customWidth="1"/>
    <col min="9" max="9" width="12.57421875" style="1" bestFit="1" customWidth="1"/>
    <col min="10" max="16384" width="9.140625" style="1" customWidth="1"/>
  </cols>
  <sheetData>
    <row r="1" spans="1:5" s="21" customFormat="1" ht="24" customHeight="1">
      <c r="A1" s="62" t="s">
        <v>44</v>
      </c>
      <c r="B1" s="62"/>
      <c r="C1" s="62"/>
      <c r="D1" s="62"/>
      <c r="E1" s="62"/>
    </row>
    <row r="2" spans="2:5" s="3" customFormat="1" ht="12" customHeight="1">
      <c r="B2" s="2" t="s">
        <v>0</v>
      </c>
      <c r="E2" s="8"/>
    </row>
    <row r="3" spans="2:12" ht="21" customHeight="1">
      <c r="B3" s="68" t="s">
        <v>1</v>
      </c>
      <c r="C3" s="69"/>
      <c r="D3" s="69"/>
      <c r="E3" s="26" t="s">
        <v>59</v>
      </c>
      <c r="H3" s="67" t="s">
        <v>55</v>
      </c>
      <c r="I3" s="67"/>
      <c r="J3" s="67"/>
      <c r="K3" s="67"/>
      <c r="L3" s="67"/>
    </row>
    <row r="4" spans="2:12" ht="15" customHeight="1" thickBot="1">
      <c r="B4" s="54" t="s">
        <v>31</v>
      </c>
      <c r="C4" s="55"/>
      <c r="D4" s="55"/>
      <c r="E4" s="55"/>
      <c r="H4" s="25" t="s">
        <v>20</v>
      </c>
      <c r="I4" s="25" t="s">
        <v>56</v>
      </c>
      <c r="J4" s="25" t="s">
        <v>38</v>
      </c>
      <c r="K4" s="25" t="s">
        <v>57</v>
      </c>
      <c r="L4" s="25" t="s">
        <v>58</v>
      </c>
    </row>
    <row r="5" spans="2:12" ht="12" customHeight="1" hidden="1" thickBot="1">
      <c r="B5" s="52" t="s">
        <v>19</v>
      </c>
      <c r="C5" s="53"/>
      <c r="D5" s="53"/>
      <c r="E5" s="9"/>
      <c r="H5" s="4" t="s">
        <v>20</v>
      </c>
      <c r="I5" s="4" t="s">
        <v>21</v>
      </c>
      <c r="J5" s="4" t="s">
        <v>22</v>
      </c>
      <c r="K5" s="4" t="s">
        <v>23</v>
      </c>
      <c r="L5" s="5" t="s">
        <v>24</v>
      </c>
    </row>
    <row r="6" spans="2:12" ht="23.25" customHeight="1" thickBot="1">
      <c r="B6" s="65" t="s">
        <v>32</v>
      </c>
      <c r="C6" s="66"/>
      <c r="D6" s="66"/>
      <c r="E6" s="32">
        <f>2.05*J6*12+J6*2*2.05+2.05*4*J6</f>
        <v>32324.399999999998</v>
      </c>
      <c r="H6" s="6">
        <v>78</v>
      </c>
      <c r="I6" s="6">
        <v>3341.7</v>
      </c>
      <c r="J6" s="6">
        <v>876</v>
      </c>
      <c r="K6" s="6">
        <f>J6</f>
        <v>876</v>
      </c>
      <c r="L6" s="7">
        <v>56</v>
      </c>
    </row>
    <row r="7" spans="2:5" ht="36" customHeight="1">
      <c r="B7" s="49" t="s">
        <v>25</v>
      </c>
      <c r="C7" s="49"/>
      <c r="D7" s="49"/>
      <c r="E7" s="29">
        <f>(I6*2.05*2)</f>
        <v>13700.969999999998</v>
      </c>
    </row>
    <row r="8" spans="2:5" ht="12" customHeight="1">
      <c r="B8" s="49" t="s">
        <v>26</v>
      </c>
      <c r="C8" s="49"/>
      <c r="D8" s="49"/>
      <c r="E8" s="29">
        <f>I6*2.05*2</f>
        <v>13700.969999999998</v>
      </c>
    </row>
    <row r="9" spans="2:5" ht="12" customHeight="1" hidden="1">
      <c r="B9" s="49" t="s">
        <v>27</v>
      </c>
      <c r="C9" s="49"/>
      <c r="D9" s="49"/>
      <c r="E9" s="29"/>
    </row>
    <row r="10" spans="2:5" ht="15" customHeight="1">
      <c r="B10" s="49" t="s">
        <v>28</v>
      </c>
      <c r="C10" s="49"/>
      <c r="D10" s="49"/>
      <c r="E10" s="29">
        <f>(3*121.53*2*I6/1000)*3</f>
        <v>7310.1024179999995</v>
      </c>
    </row>
    <row r="11" spans="2:5" ht="12" customHeight="1">
      <c r="B11" s="49" t="s">
        <v>10</v>
      </c>
      <c r="C11" s="49"/>
      <c r="D11" s="49"/>
      <c r="E11" s="29">
        <f>12*I6*0.83</f>
        <v>33283.331999999995</v>
      </c>
    </row>
    <row r="12" spans="2:5" ht="12" customHeight="1">
      <c r="B12" s="49" t="s">
        <v>12</v>
      </c>
      <c r="C12" s="49"/>
      <c r="D12" s="49"/>
      <c r="E12" s="29">
        <f>12*I6*6.05</f>
        <v>242607.41999999995</v>
      </c>
    </row>
    <row r="13" spans="2:5" ht="12" customHeight="1">
      <c r="B13" s="49" t="s">
        <v>13</v>
      </c>
      <c r="C13" s="49"/>
      <c r="D13" s="49"/>
      <c r="E13" s="29">
        <f>1*L6*286.7</f>
        <v>16055.199999999999</v>
      </c>
    </row>
    <row r="14" spans="2:5" ht="12" customHeight="1">
      <c r="B14" s="49" t="s">
        <v>11</v>
      </c>
      <c r="C14" s="49"/>
      <c r="D14" s="49"/>
      <c r="E14" s="29">
        <f>12*I6*0.54</f>
        <v>21654.215999999997</v>
      </c>
    </row>
    <row r="15" spans="2:5" ht="12" customHeight="1">
      <c r="B15" s="56" t="s">
        <v>15</v>
      </c>
      <c r="C15" s="56"/>
      <c r="D15" s="56"/>
      <c r="E15" s="29">
        <v>10000</v>
      </c>
    </row>
    <row r="16" spans="2:5" ht="6" customHeight="1">
      <c r="B16" s="49" t="s">
        <v>14</v>
      </c>
      <c r="C16" s="49"/>
      <c r="D16" s="49"/>
      <c r="E16" s="63">
        <f>12*I6*0.77</f>
        <v>30877.307999999997</v>
      </c>
    </row>
    <row r="17" spans="2:5" ht="6" customHeight="1">
      <c r="B17" s="49"/>
      <c r="C17" s="49"/>
      <c r="D17" s="49"/>
      <c r="E17" s="63"/>
    </row>
    <row r="18" spans="2:5" ht="6" customHeight="1">
      <c r="B18" s="49" t="s">
        <v>29</v>
      </c>
      <c r="C18" s="49"/>
      <c r="D18" s="49"/>
      <c r="E18" s="63">
        <f>12*I6*1.39</f>
        <v>55739.55599999999</v>
      </c>
    </row>
    <row r="19" spans="2:5" ht="6" customHeight="1">
      <c r="B19" s="49"/>
      <c r="C19" s="49"/>
      <c r="D19" s="49"/>
      <c r="E19" s="63"/>
    </row>
    <row r="20" spans="2:5" ht="12" customHeight="1">
      <c r="B20" s="49" t="s">
        <v>33</v>
      </c>
      <c r="C20" s="49"/>
      <c r="D20" s="49"/>
      <c r="E20" s="29">
        <f>12*I6*0.37</f>
        <v>14837.147999999997</v>
      </c>
    </row>
    <row r="21" spans="2:5" ht="12" customHeight="1">
      <c r="B21" s="49" t="s">
        <v>34</v>
      </c>
      <c r="C21" s="49"/>
      <c r="D21" s="49"/>
      <c r="E21" s="29">
        <f>H6*2*50%*2*137.35*0.38</f>
        <v>8142.107999999999</v>
      </c>
    </row>
    <row r="22" spans="2:5" ht="12" customHeight="1">
      <c r="B22" s="49" t="s">
        <v>35</v>
      </c>
      <c r="C22" s="49"/>
      <c r="D22" s="49"/>
      <c r="E22" s="29">
        <f>H6*50%*2*137.35*0.38</f>
        <v>4071.0539999999996</v>
      </c>
    </row>
    <row r="23" spans="2:5" ht="12" customHeight="1">
      <c r="B23" s="49" t="s">
        <v>36</v>
      </c>
      <c r="C23" s="49"/>
      <c r="D23" s="49"/>
      <c r="E23" s="20">
        <f>68.68*25</f>
        <v>1717.0000000000002</v>
      </c>
    </row>
    <row r="24" spans="2:5" ht="12" customHeight="1">
      <c r="B24" s="49" t="s">
        <v>2</v>
      </c>
      <c r="C24" s="49"/>
      <c r="D24" s="49"/>
      <c r="E24" s="20">
        <f>68.68*10</f>
        <v>686.8000000000001</v>
      </c>
    </row>
    <row r="25" spans="2:5" ht="12" customHeight="1">
      <c r="B25" s="49" t="s">
        <v>37</v>
      </c>
      <c r="C25" s="49"/>
      <c r="D25" s="49"/>
      <c r="E25" s="20">
        <f>68.68*29</f>
        <v>1991.7200000000003</v>
      </c>
    </row>
    <row r="26" spans="2:5" s="43" customFormat="1" ht="12" customHeight="1">
      <c r="B26" s="45" t="s">
        <v>51</v>
      </c>
      <c r="C26" s="45"/>
      <c r="D26" s="45"/>
      <c r="E26" s="35">
        <f>112.6*2</f>
        <v>225.2</v>
      </c>
    </row>
    <row r="27" spans="2:13" s="44" customFormat="1" ht="12" customHeight="1">
      <c r="B27" s="45" t="s">
        <v>66</v>
      </c>
      <c r="C27" s="45"/>
      <c r="D27" s="45"/>
      <c r="E27" s="37">
        <f>6*'[2]на июль 15г'!$J$988</f>
        <v>4517.821070918682</v>
      </c>
      <c r="F27" s="43"/>
      <c r="G27" s="43"/>
      <c r="H27" s="43"/>
      <c r="I27" s="43"/>
      <c r="J27" s="43"/>
      <c r="K27" s="43"/>
      <c r="L27" s="43"/>
      <c r="M27" s="43"/>
    </row>
    <row r="28" spans="2:5" s="34" customFormat="1" ht="15">
      <c r="B28" s="50" t="s">
        <v>72</v>
      </c>
      <c r="C28" s="50"/>
      <c r="D28" s="50"/>
      <c r="E28" s="39">
        <f>50.89*25</f>
        <v>1272.25</v>
      </c>
    </row>
    <row r="29" spans="2:5" s="34" customFormat="1" ht="14.25" customHeight="1">
      <c r="B29" s="51" t="s">
        <v>40</v>
      </c>
      <c r="C29" s="51"/>
      <c r="D29" s="51"/>
      <c r="E29" s="39">
        <f>'[1]на июль 15г'!$J$290</f>
        <v>609.0492647362124</v>
      </c>
    </row>
    <row r="30" spans="2:5" s="34" customFormat="1" ht="12" customHeight="1">
      <c r="B30" s="50" t="s">
        <v>74</v>
      </c>
      <c r="C30" s="50"/>
      <c r="D30" s="50"/>
      <c r="E30" s="39">
        <f>'[2]на июль 15г'!$J$333*2</f>
        <v>1911.3523865643663</v>
      </c>
    </row>
    <row r="31" spans="2:5" s="34" customFormat="1" ht="13.5" customHeight="1">
      <c r="B31" s="50" t="s">
        <v>50</v>
      </c>
      <c r="C31" s="50"/>
      <c r="D31" s="50"/>
      <c r="E31" s="39">
        <f>89*'[1]на июль 15г'!$J$198</f>
        <v>14641.21593802895</v>
      </c>
    </row>
    <row r="32" spans="2:5" s="34" customFormat="1" ht="11.25" customHeight="1">
      <c r="B32" s="50" t="s">
        <v>64</v>
      </c>
      <c r="C32" s="50"/>
      <c r="D32" s="50"/>
      <c r="E32" s="39">
        <f>6*'[1]на июль 15г'!$J$277</f>
        <v>5013.000724417275</v>
      </c>
    </row>
    <row r="33" spans="2:5" s="34" customFormat="1" ht="14.25" customHeight="1">
      <c r="B33" s="50" t="s">
        <v>73</v>
      </c>
      <c r="C33" s="50"/>
      <c r="D33" s="50"/>
      <c r="E33" s="40">
        <f>41*'[1]на июль 15г'!$J$198</f>
        <v>6744.829814148168</v>
      </c>
    </row>
    <row r="34" spans="2:5" s="34" customFormat="1" ht="12" customHeight="1">
      <c r="B34" s="50" t="s">
        <v>39</v>
      </c>
      <c r="C34" s="50"/>
      <c r="D34" s="50"/>
      <c r="E34" s="39">
        <f>4*'[1]на июль 15г'!$J$323</f>
        <v>399.9019793004189</v>
      </c>
    </row>
    <row r="35" spans="2:5" s="34" customFormat="1" ht="12" customHeight="1">
      <c r="B35" s="50" t="s">
        <v>65</v>
      </c>
      <c r="C35" s="50"/>
      <c r="D35" s="50"/>
      <c r="E35" s="39">
        <f>2*'[1]на июль 15г'!$J$251</f>
        <v>10039.782356311533</v>
      </c>
    </row>
    <row r="36" spans="2:5" s="42" customFormat="1" ht="12" customHeight="1">
      <c r="B36" s="50" t="s">
        <v>68</v>
      </c>
      <c r="C36" s="50"/>
      <c r="D36" s="50"/>
      <c r="E36" s="39">
        <f>2*'[1]на июль 15г'!$J$238</f>
        <v>10208.20409270605</v>
      </c>
    </row>
    <row r="37" spans="2:5" s="34" customFormat="1" ht="14.25" customHeight="1">
      <c r="B37" s="50" t="s">
        <v>5</v>
      </c>
      <c r="C37" s="50"/>
      <c r="D37" s="50"/>
      <c r="E37" s="40">
        <f>20*'[1]на июль 15г'!$J$211</f>
        <v>1152.200630593057</v>
      </c>
    </row>
    <row r="38" spans="2:5" s="34" customFormat="1" ht="12.75" customHeight="1">
      <c r="B38" s="50" t="s">
        <v>63</v>
      </c>
      <c r="C38" s="50"/>
      <c r="D38" s="50"/>
      <c r="E38" s="40">
        <f>5*'[1]на июль 15г'!$J$211</f>
        <v>288.05015764826425</v>
      </c>
    </row>
    <row r="39" spans="2:5" s="34" customFormat="1" ht="12" customHeight="1">
      <c r="B39" s="50" t="s">
        <v>4</v>
      </c>
      <c r="C39" s="50"/>
      <c r="D39" s="50"/>
      <c r="E39" s="39">
        <f>5*'[1]на июль 15г'!$J$264</f>
        <v>354.4716088119292</v>
      </c>
    </row>
    <row r="40" spans="2:5" s="19" customFormat="1" ht="12" customHeight="1">
      <c r="B40" s="45" t="s">
        <v>18</v>
      </c>
      <c r="C40" s="45"/>
      <c r="D40" s="45"/>
      <c r="E40" s="37">
        <f>1*('[1]на июль 15г'!$J$699+'[1]на июль 15г'!$J$677)</f>
        <v>2178.85288138524</v>
      </c>
    </row>
    <row r="41" spans="2:5" s="16" customFormat="1" ht="12" customHeight="1">
      <c r="B41" s="45" t="s">
        <v>17</v>
      </c>
      <c r="C41" s="45"/>
      <c r="D41" s="45"/>
      <c r="E41" s="37">
        <f>2*'[1]на июль 15г'!$J$434</f>
        <v>1224.7278445285513</v>
      </c>
    </row>
    <row r="42" spans="2:5" s="33" customFormat="1" ht="12" customHeight="1">
      <c r="B42" s="45" t="s">
        <v>9</v>
      </c>
      <c r="C42" s="64"/>
      <c r="D42" s="64"/>
      <c r="E42" s="37">
        <f>4*'[1]на июль 15г'!$J$444</f>
        <v>2738.463285929996</v>
      </c>
    </row>
    <row r="43" spans="2:7" s="15" customFormat="1" ht="12" customHeight="1">
      <c r="B43" s="45" t="s">
        <v>3</v>
      </c>
      <c r="C43" s="45"/>
      <c r="D43" s="45"/>
      <c r="E43" s="37">
        <f>6*'[1]на июль 15г'!$J$454</f>
        <v>5183.561327334711</v>
      </c>
      <c r="F43" s="31"/>
      <c r="G43" s="17"/>
    </row>
    <row r="44" spans="2:5" s="18" customFormat="1" ht="12" customHeight="1">
      <c r="B44" s="45" t="s">
        <v>48</v>
      </c>
      <c r="C44" s="45"/>
      <c r="D44" s="45"/>
      <c r="E44" s="37">
        <f>2*'[1]на июль 15г'!$J$504</f>
        <v>3528.240399591489</v>
      </c>
    </row>
    <row r="45" spans="2:5" s="16" customFormat="1" ht="14.25" customHeight="1">
      <c r="B45" s="45" t="s">
        <v>45</v>
      </c>
      <c r="C45" s="45"/>
      <c r="D45" s="45"/>
      <c r="E45" s="37">
        <f>9*'[1]на июль 15г'!$J$535</f>
        <v>3570.475535107112</v>
      </c>
    </row>
    <row r="46" spans="2:5" s="16" customFormat="1" ht="12" customHeight="1">
      <c r="B46" s="45" t="s">
        <v>46</v>
      </c>
      <c r="C46" s="45"/>
      <c r="D46" s="45"/>
      <c r="E46" s="36">
        <f>9*'[1]на июль 15г'!$J$565</f>
        <v>4577.265129011745</v>
      </c>
    </row>
    <row r="47" spans="1:9" s="18" customFormat="1" ht="12" customHeight="1">
      <c r="A47" s="18" t="s">
        <v>47</v>
      </c>
      <c r="B47" s="45" t="s">
        <v>49</v>
      </c>
      <c r="C47" s="45"/>
      <c r="D47" s="45"/>
      <c r="E47" s="37">
        <f>1*'[1]на июль 15г'!$J$654</f>
        <v>15556.733578840513</v>
      </c>
      <c r="I47" s="17"/>
    </row>
    <row r="48" spans="2:5" s="38" customFormat="1" ht="12.75" customHeight="1">
      <c r="B48" s="46" t="s">
        <v>8</v>
      </c>
      <c r="C48" s="47"/>
      <c r="D48" s="48"/>
      <c r="E48" s="35">
        <f>2201.44+550.57</f>
        <v>2752.01</v>
      </c>
    </row>
    <row r="49" spans="2:5" s="16" customFormat="1" ht="12" customHeight="1">
      <c r="B49" s="45" t="s">
        <v>71</v>
      </c>
      <c r="C49" s="45"/>
      <c r="D49" s="45"/>
      <c r="E49" s="35">
        <v>5665.25</v>
      </c>
    </row>
    <row r="50" spans="2:5" s="30" customFormat="1" ht="12" customHeight="1">
      <c r="B50" s="45" t="s">
        <v>16</v>
      </c>
      <c r="C50" s="45"/>
      <c r="D50" s="45"/>
      <c r="E50" s="35">
        <v>4066.94</v>
      </c>
    </row>
    <row r="51" spans="2:5" s="23" customFormat="1" ht="12" customHeight="1">
      <c r="B51" s="45" t="s">
        <v>70</v>
      </c>
      <c r="C51" s="45"/>
      <c r="D51" s="45"/>
      <c r="E51" s="35">
        <v>535.9</v>
      </c>
    </row>
    <row r="52" spans="2:5" s="22" customFormat="1" ht="13.5" customHeight="1">
      <c r="B52" s="61" t="s">
        <v>60</v>
      </c>
      <c r="C52" s="61"/>
      <c r="D52" s="61"/>
      <c r="E52" s="35">
        <f>25813.32+23232</f>
        <v>49045.32</v>
      </c>
    </row>
    <row r="53" spans="2:5" s="22" customFormat="1" ht="12" customHeight="1">
      <c r="B53" s="45" t="s">
        <v>43</v>
      </c>
      <c r="C53" s="45"/>
      <c r="D53" s="45"/>
      <c r="E53" s="35">
        <v>907</v>
      </c>
    </row>
    <row r="54" spans="2:5" s="24" customFormat="1" ht="12" customHeight="1">
      <c r="B54" s="45" t="s">
        <v>30</v>
      </c>
      <c r="C54" s="45"/>
      <c r="D54" s="45"/>
      <c r="E54" s="35">
        <v>3941</v>
      </c>
    </row>
    <row r="55" spans="2:5" s="22" customFormat="1" ht="12" customHeight="1">
      <c r="B55" s="45" t="s">
        <v>53</v>
      </c>
      <c r="C55" s="45"/>
      <c r="D55" s="45"/>
      <c r="E55" s="35">
        <f>2387.5</f>
        <v>2387.5</v>
      </c>
    </row>
    <row r="56" spans="2:5" s="27" customFormat="1" ht="14.25" customHeight="1">
      <c r="B56" s="45" t="s">
        <v>42</v>
      </c>
      <c r="C56" s="45"/>
      <c r="D56" s="45"/>
      <c r="E56" s="35">
        <v>397.5</v>
      </c>
    </row>
    <row r="57" spans="2:5" s="27" customFormat="1" ht="14.25" customHeight="1">
      <c r="B57" s="45" t="s">
        <v>62</v>
      </c>
      <c r="C57" s="45"/>
      <c r="D57" s="45"/>
      <c r="E57" s="35">
        <v>223806</v>
      </c>
    </row>
    <row r="58" spans="2:5" s="14" customFormat="1" ht="12" customHeight="1">
      <c r="B58" s="45" t="s">
        <v>52</v>
      </c>
      <c r="C58" s="45"/>
      <c r="D58" s="45"/>
      <c r="E58" s="35">
        <f>450.6+188</f>
        <v>638.6</v>
      </c>
    </row>
    <row r="59" spans="2:5" s="27" customFormat="1" ht="12" customHeight="1">
      <c r="B59" s="45" t="s">
        <v>7</v>
      </c>
      <c r="C59" s="45"/>
      <c r="D59" s="45"/>
      <c r="E59" s="35">
        <v>2000</v>
      </c>
    </row>
    <row r="60" spans="2:5" s="14" customFormat="1" ht="12" customHeight="1">
      <c r="B60" s="45" t="s">
        <v>69</v>
      </c>
      <c r="C60" s="45"/>
      <c r="D60" s="45"/>
      <c r="E60" s="35">
        <v>3149.46</v>
      </c>
    </row>
    <row r="61" spans="2:5" s="28" customFormat="1" ht="12" customHeight="1">
      <c r="B61" s="45" t="s">
        <v>67</v>
      </c>
      <c r="C61" s="64"/>
      <c r="D61" s="64"/>
      <c r="E61" s="35">
        <f>379</f>
        <v>379</v>
      </c>
    </row>
    <row r="62" spans="2:5" ht="12" customHeight="1">
      <c r="B62" s="45" t="s">
        <v>61</v>
      </c>
      <c r="C62" s="45"/>
      <c r="D62" s="45"/>
      <c r="E62" s="36">
        <f>1413</f>
        <v>1413</v>
      </c>
    </row>
    <row r="63" spans="2:5" s="3" customFormat="1" ht="12" customHeight="1">
      <c r="B63" s="10"/>
      <c r="C63" s="10"/>
      <c r="D63" s="10"/>
      <c r="E63" s="12">
        <f>SUM(E5:E62)</f>
        <v>905719.4344239141</v>
      </c>
    </row>
    <row r="64" spans="3:5" ht="12" customHeight="1">
      <c r="C64" s="13" t="s">
        <v>41</v>
      </c>
      <c r="D64" s="59">
        <f>'[3]Лист1'!$B$21</f>
        <v>367373.11000000004</v>
      </c>
      <c r="E64" s="60"/>
    </row>
    <row r="65" spans="3:5" ht="12" customHeight="1">
      <c r="C65" s="13" t="s">
        <v>6</v>
      </c>
      <c r="D65" s="57">
        <f>'[4]Лист1'!$C$21</f>
        <v>360025.64780000004</v>
      </c>
      <c r="E65" s="58"/>
    </row>
    <row r="66" spans="3:5" ht="12" customHeight="1">
      <c r="C66" s="13" t="s">
        <v>54</v>
      </c>
      <c r="D66" s="11"/>
      <c r="E66" s="41">
        <f>E63</f>
        <v>905719.4344239141</v>
      </c>
    </row>
  </sheetData>
  <sheetProtection password="CCF3" sheet="1" objects="1" scenarios="1" selectLockedCells="1" selectUnlockedCells="1"/>
  <mergeCells count="64">
    <mergeCell ref="H3:L3"/>
    <mergeCell ref="B44:D44"/>
    <mergeCell ref="B30:D30"/>
    <mergeCell ref="B49:D49"/>
    <mergeCell ref="B54:D54"/>
    <mergeCell ref="B33:D33"/>
    <mergeCell ref="B45:D45"/>
    <mergeCell ref="B42:D42"/>
    <mergeCell ref="B31:D31"/>
    <mergeCell ref="B3:D3"/>
    <mergeCell ref="A1:E1"/>
    <mergeCell ref="E18:E19"/>
    <mergeCell ref="B61:D61"/>
    <mergeCell ref="E16:E17"/>
    <mergeCell ref="B6:D6"/>
    <mergeCell ref="B36:D36"/>
    <mergeCell ref="B56:D56"/>
    <mergeCell ref="B46:D46"/>
    <mergeCell ref="B41:D41"/>
    <mergeCell ref="B47:D47"/>
    <mergeCell ref="B22:D22"/>
    <mergeCell ref="B18:D19"/>
    <mergeCell ref="B24:D24"/>
    <mergeCell ref="B62:D62"/>
    <mergeCell ref="B53:D53"/>
    <mergeCell ref="B39:D39"/>
    <mergeCell ref="B58:D58"/>
    <mergeCell ref="B40:D40"/>
    <mergeCell ref="D65:E65"/>
    <mergeCell ref="B60:D60"/>
    <mergeCell ref="B51:D51"/>
    <mergeCell ref="B59:D59"/>
    <mergeCell ref="B57:D57"/>
    <mergeCell ref="B20:D20"/>
    <mergeCell ref="B43:D43"/>
    <mergeCell ref="D64:E64"/>
    <mergeCell ref="B52:D52"/>
    <mergeCell ref="B35:D35"/>
    <mergeCell ref="B4:E4"/>
    <mergeCell ref="B23:D23"/>
    <mergeCell ref="B16:D17"/>
    <mergeCell ref="B14:D14"/>
    <mergeCell ref="B10:D10"/>
    <mergeCell ref="B11:D11"/>
    <mergeCell ref="B15:D15"/>
    <mergeCell ref="B13:D13"/>
    <mergeCell ref="B21:D21"/>
    <mergeCell ref="B32:D32"/>
    <mergeCell ref="B5:D5"/>
    <mergeCell ref="B9:D9"/>
    <mergeCell ref="B25:D25"/>
    <mergeCell ref="B12:D12"/>
    <mergeCell ref="B7:D7"/>
    <mergeCell ref="B28:D28"/>
    <mergeCell ref="B55:D55"/>
    <mergeCell ref="B48:D48"/>
    <mergeCell ref="B8:D8"/>
    <mergeCell ref="B50:D50"/>
    <mergeCell ref="B37:D37"/>
    <mergeCell ref="B29:D29"/>
    <mergeCell ref="B26:D26"/>
    <mergeCell ref="B27:D27"/>
    <mergeCell ref="B38:D38"/>
    <mergeCell ref="B34:D34"/>
  </mergeCells>
  <printOptions/>
  <pageMargins left="0.35433070866141736" right="0.15748031496062992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2020-03-24T02:21:26Z</cp:lastPrinted>
  <dcterms:created xsi:type="dcterms:W3CDTF">2018-02-22T04:59:03Z</dcterms:created>
  <dcterms:modified xsi:type="dcterms:W3CDTF">2020-03-27T02:44:01Z</dcterms:modified>
  <cp:category/>
  <cp:version/>
  <cp:contentType/>
  <cp:contentStatus/>
</cp:coreProperties>
</file>