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<sst xmlns="http://schemas.openxmlformats.org/spreadsheetml/2006/main" count="85" uniqueCount="84">
  <si>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</si>
  <si>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</si>
  <si>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</si>
  <si>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</si>
  <si>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</si>
  <si>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</si>
  <si>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</si>
  <si>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</si>
  <si>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</si>
  <si>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</si>
  <si>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</si>
  <si>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</si>
  <si>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</si>
  <si>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</si>
  <si>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50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</si>
  <si>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</si>
  <si>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</si>
  <si>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</si>
  <si>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</si>
  <si>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</si>
  <si>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</si>
  <si>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</si>
  <si>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</si>
  <si>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</si>
  <si>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</si>
  <si>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</si>
  <si>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</si>
  <si>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</si>
  <si>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Уборка загрузочных клапанов; удаление отходов</t>
  </si>
  <si>
    <t>Страхование лифтового оборудования</t>
  </si>
  <si>
    <t xml:space="preserve">Адрес дома: ОКТЯБРЬСКИЙ ПР., 61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</si>
  <si>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</si>
  <si>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</si>
  <si>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</si>
  <si>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</si>
  <si>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</si>
  <si>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</si>
  <si>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</si>
  <si>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</si>
  <si>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>Смена патронов</t>
  </si>
  <si>
    <t>Смена внутренних трубопроводов из стальных труб диаметром: до 100 мм</t>
  </si>
  <si>
    <t>Поверка общедомовых приборов учета ТУ, ремонт</t>
  </si>
  <si>
    <t>Начислено по дому:</t>
  </si>
  <si>
    <t>Монтаж ограждения подъездных лоджий</t>
  </si>
  <si>
    <t>Смена покрытия кровли средней сложности из листовой стали: без настенных желобов и свесов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</si>
  <si>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</si>
  <si>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</si>
  <si>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</si>
  <si>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Смена внутренних трубопроводов из стальных труб диаметром: до 76 мм</t>
  </si>
  <si>
    <t>Монтаж светодиодного прожектора</t>
  </si>
  <si>
    <t>Прокладка кабеля АВВГ 2*2,5</t>
  </si>
  <si>
    <t>Замена распределительной коробки</t>
  </si>
  <si>
    <t>Монтаж кабель-канала</t>
  </si>
  <si>
    <t>Ремонт перил</t>
  </si>
  <si>
    <t>Ремонт спортивной площадки</t>
  </si>
  <si>
    <t xml:space="preserve">Изготовление и монтаж люка </t>
  </si>
  <si>
    <t>Ремонт перил на лоджии</t>
  </si>
  <si>
    <t>Итого затрачено по дому:</t>
  </si>
  <si>
    <t>Утепление двери в электрощитовой</t>
  </si>
  <si>
    <t>Ремонт люков на чердак</t>
  </si>
  <si>
    <t>Количество</t>
  </si>
  <si>
    <t xml:space="preserve">общая площадь </t>
  </si>
  <si>
    <t>чердак</t>
  </si>
  <si>
    <t>стояки</t>
  </si>
  <si>
    <t>Сумма</t>
  </si>
  <si>
    <t>Утепление м/п швов, кв.39,143,216,269,284,359</t>
  </si>
  <si>
    <t>Ремонт балконных козырьков, кв.359</t>
  </si>
  <si>
    <t>Установка информационных досок</t>
  </si>
  <si>
    <t xml:space="preserve">Смена ламп: светодиодных </t>
  </si>
  <si>
    <t xml:space="preserve">Замена фотореле </t>
  </si>
  <si>
    <t>Замена автоматических выключателей</t>
  </si>
  <si>
    <t xml:space="preserve">Установка светильников
</t>
  </si>
  <si>
    <t>Установка ручек на двери лоджий, 10 подъезд</t>
  </si>
  <si>
    <t>Ремонт подъездных козырьков, 4 подъезд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</si>
  <si>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</si>
  <si>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</si>
  <si>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Установка поручня, 2 подъезд</t>
  </si>
  <si>
    <t>Устранение засоров канализации</t>
  </si>
  <si>
    <t>Замена трансформаторов тока</t>
  </si>
  <si>
    <t xml:space="preserve">Предохранитель, устанавливаемый на изоляционном основании, на ток: до 100 А </t>
  </si>
  <si>
    <t xml:space="preserve">Утепление стены, 10 подъезд </t>
  </si>
  <si>
    <t>Ремонт м/п швов кв.117,162,194,293,329,340</t>
  </si>
  <si>
    <t>Смена существующих рулонных кровель на покрытия из наплавляемых рулонных материалов: в один слой, кв.106,107,108</t>
  </si>
  <si>
    <t>Замена держателей для предохранителя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</si>
</sst>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wrapText="1"/>
    </xf>
    <xf numFmtId="0" fontId="30" fillId="0" borderId="11" xfId="42" applyNumberFormat="1" applyFill="1" applyBorder="1" applyAlignment="1" quotePrefix="1">
      <alignment horizontal="right" vertical="center" wrapText="1"/>
      <protection/>
    </xf>
    <xf numFmtId="2" fontId="0" fillId="0" borderId="0" xfId="0" applyNumberFormat="1" applyFill="1" applyAlignment="1">
      <alignment wrapText="1"/>
    </xf>
    <xf numFmtId="0" fontId="0" fillId="0" borderId="11" xfId="0" applyFill="1" applyBorder="1" applyAlignment="1">
      <alignment horizontal="center" wrapText="1"/>
    </xf>
    <xf numFmtId="0" fontId="30" fillId="0" borderId="11" xfId="42" applyNumberFormat="1" applyFont="1" applyFill="1" applyBorder="1" applyAlignment="1" quotePrefix="1">
      <alignment horizontal="right" vertical="center" wrapText="1"/>
      <protection/>
    </xf>
    <xf numFmtId="2" fontId="30" fillId="0" borderId="11" xfId="42" applyNumberFormat="1" applyFont="1" applyFill="1" applyBorder="1" applyAlignment="1" quotePrefix="1">
      <alignment horizontal="right" vertical="center" wrapText="1"/>
      <protection/>
    </xf>
    <xf numFmtId="43" fontId="30" fillId="0" borderId="11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2" fontId="30" fillId="0" borderId="11" xfId="42" applyNumberFormat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2" fontId="30" fillId="0" borderId="11" xfId="42" applyNumberFormat="1" applyFill="1" applyBorder="1" applyAlignment="1" quotePrefix="1">
      <alignment horizontal="right" vertical="center" wrapText="1"/>
      <protection/>
    </xf>
    <xf numFmtId="4" fontId="50" fillId="0" borderId="11" xfId="0" applyNumberFormat="1" applyFont="1" applyFill="1" applyBorder="1" applyAlignment="1">
      <alignment horizontal="right"/>
    </xf>
    <xf numFmtId="0" fontId="29" fillId="0" borderId="12" xfId="34" applyFill="1" applyBorder="1" applyAlignment="1" quotePrefix="1">
      <alignment horizontal="center" vertical="center" wrapText="1"/>
      <protection/>
    </xf>
    <xf numFmtId="0" fontId="29" fillId="0" borderId="11" xfId="41" applyFill="1" applyBorder="1" applyAlignment="1" quotePrefix="1">
      <alignment horizontal="center" vertical="center" wrapText="1"/>
      <protection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wrapText="1"/>
    </xf>
    <xf numFmtId="0" fontId="30" fillId="0" borderId="0" xfId="43" applyFill="1" applyBorder="1" applyAlignment="1" quotePrefix="1">
      <alignment horizontal="left" vertical="top" wrapText="1"/>
      <protection/>
    </xf>
    <xf numFmtId="2" fontId="52" fillId="0" borderId="0" xfId="42" applyNumberFormat="1" applyFont="1" applyFill="1" applyBorder="1" applyAlignment="1" quotePrefix="1">
      <alignment horizontal="right" vertical="center" wrapText="1"/>
      <protection/>
    </xf>
    <xf numFmtId="0" fontId="29" fillId="0" borderId="0" xfId="46" applyFill="1" applyAlignment="1" quotePrefix="1">
      <alignment horizontal="right" vertical="top" wrapText="1"/>
      <protection/>
    </xf>
    <xf numFmtId="2" fontId="29" fillId="0" borderId="13" xfId="39" applyNumberFormat="1" applyFill="1" applyBorder="1" applyAlignment="1" quotePrefix="1">
      <alignment vertical="top" wrapText="1"/>
      <protection/>
    </xf>
    <xf numFmtId="4" fontId="0" fillId="0" borderId="0" xfId="0" applyNumberFormat="1" applyFill="1" applyAlignment="1">
      <alignment wrapText="1"/>
    </xf>
    <xf numFmtId="171" fontId="49" fillId="0" borderId="13" xfId="76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1" fontId="30" fillId="0" borderId="11" xfId="42" applyNumberFormat="1" applyFont="1" applyFill="1" applyBorder="1" applyAlignment="1" quotePrefix="1">
      <alignment horizontal="right" vertical="center" wrapText="1"/>
      <protection/>
    </xf>
    <xf numFmtId="0" fontId="30" fillId="0" borderId="11" xfId="43" applyFont="1" applyFill="1" applyBorder="1" applyAlignment="1" quotePrefix="1">
      <alignment horizontal="left" vertical="top" wrapText="1"/>
      <protection/>
    </xf>
    <xf numFmtId="0" fontId="30" fillId="0" borderId="14" xfId="43" applyFont="1" applyFill="1" applyBorder="1" applyAlignment="1" quotePrefix="1">
      <alignment horizontal="left" vertical="top" wrapText="1"/>
      <protection/>
    </xf>
    <xf numFmtId="0" fontId="30" fillId="0" borderId="15" xfId="43" applyFont="1" applyFill="1" applyBorder="1" applyAlignment="1" quotePrefix="1">
      <alignment horizontal="left" vertical="top" wrapText="1"/>
      <protection/>
    </xf>
    <xf numFmtId="4" fontId="29" fillId="0" borderId="16" xfId="47" applyNumberFormat="1" applyFill="1" applyBorder="1" applyAlignment="1" quotePrefix="1">
      <alignment horizontal="right" vertical="top" wrapText="1"/>
      <protection/>
    </xf>
    <xf numFmtId="0" fontId="0" fillId="0" borderId="16" xfId="0" applyFill="1" applyBorder="1" applyAlignment="1">
      <alignment wrapText="1"/>
    </xf>
    <xf numFmtId="0" fontId="28" fillId="0" borderId="0" xfId="33" applyFill="1" applyAlignment="1" quotePrefix="1">
      <alignment horizontal="center" vertical="center" wrapText="1"/>
      <protection/>
    </xf>
    <xf numFmtId="0" fontId="30" fillId="0" borderId="17" xfId="43" applyFont="1" applyFill="1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0" fontId="30" fillId="0" borderId="14" xfId="43" applyFill="1" applyBorder="1" applyAlignment="1" quotePrefix="1">
      <alignment horizontal="left" vertical="top" wrapText="1"/>
      <protection/>
    </xf>
    <xf numFmtId="0" fontId="30" fillId="0" borderId="15" xfId="43" applyFill="1" applyBorder="1" applyAlignment="1" quotePrefix="1">
      <alignment horizontal="left" vertical="top" wrapText="1"/>
      <protection/>
    </xf>
    <xf numFmtId="0" fontId="30" fillId="0" borderId="18" xfId="43" applyFill="1" applyBorder="1" applyAlignment="1" quotePrefix="1">
      <alignment horizontal="left" vertical="top" wrapText="1"/>
      <protection/>
    </xf>
    <xf numFmtId="0" fontId="30" fillId="0" borderId="19" xfId="43" applyFill="1" applyBorder="1" applyAlignment="1" quotePrefix="1">
      <alignment horizontal="left" vertical="top" wrapText="1"/>
      <protection/>
    </xf>
    <xf numFmtId="0" fontId="30" fillId="0" borderId="20" xfId="43" applyFont="1" applyFill="1" applyBorder="1" applyAlignment="1" quotePrefix="1">
      <alignment horizontal="left" vertical="top" wrapText="1"/>
      <protection/>
    </xf>
    <xf numFmtId="0" fontId="30" fillId="0" borderId="16" xfId="43" applyFont="1" applyFill="1" applyBorder="1" applyAlignment="1" quotePrefix="1">
      <alignment horizontal="left" vertical="top" wrapText="1"/>
      <protection/>
    </xf>
    <xf numFmtId="0" fontId="30" fillId="0" borderId="17" xfId="43" applyFill="1" applyBorder="1" applyAlignment="1" quotePrefix="1">
      <alignment horizontal="left" vertical="top" wrapText="1"/>
      <protection/>
    </xf>
    <xf numFmtId="0" fontId="30" fillId="0" borderId="21" xfId="43" applyFont="1" applyFill="1" applyBorder="1" applyAlignment="1" quotePrefix="1">
      <alignment horizontal="left" vertical="top" wrapText="1"/>
      <protection/>
    </xf>
    <xf numFmtId="0" fontId="30" fillId="0" borderId="18" xfId="43" applyFont="1" applyFill="1" applyBorder="1" applyAlignment="1" quotePrefix="1">
      <alignment horizontal="left" vertical="top" wrapText="1"/>
      <protection/>
    </xf>
    <xf numFmtId="0" fontId="30" fillId="0" borderId="19" xfId="43" applyFont="1" applyFill="1" applyBorder="1" applyAlignment="1" quotePrefix="1">
      <alignment horizontal="left" vertical="top" wrapText="1"/>
      <protection/>
    </xf>
    <xf numFmtId="0" fontId="30" fillId="0" borderId="22" xfId="43" applyFont="1" applyFill="1" applyBorder="1" applyAlignment="1" quotePrefix="1">
      <alignment horizontal="left" vertical="top" wrapText="1"/>
      <protection/>
    </xf>
    <xf numFmtId="0" fontId="30" fillId="0" borderId="13" xfId="43" applyFont="1" applyFill="1" applyBorder="1" applyAlignment="1" quotePrefix="1">
      <alignment horizontal="left" vertical="top" wrapText="1"/>
      <protection/>
    </xf>
    <xf numFmtId="2" fontId="30" fillId="0" borderId="11" xfId="42" applyNumberFormat="1" applyFill="1" applyBorder="1" applyAlignment="1" quotePrefix="1">
      <alignment horizontal="right" vertical="center" wrapText="1"/>
      <protection/>
    </xf>
    <xf numFmtId="0" fontId="30" fillId="0" borderId="23" xfId="43" applyFill="1" applyBorder="1" applyAlignment="1" quotePrefix="1">
      <alignment horizontal="left" vertical="top" wrapText="1"/>
      <protection/>
    </xf>
    <xf numFmtId="0" fontId="30" fillId="0" borderId="24" xfId="43" applyFill="1" applyBorder="1" applyAlignment="1" quotePrefix="1">
      <alignment horizontal="left" vertical="top" wrapText="1"/>
      <protection/>
    </xf>
    <xf numFmtId="0" fontId="30" fillId="0" borderId="25" xfId="43" applyFill="1" applyBorder="1" applyAlignment="1" quotePrefix="1">
      <alignment horizontal="left" vertical="top" wrapText="1"/>
      <protection/>
    </xf>
    <xf numFmtId="0" fontId="30" fillId="0" borderId="12" xfId="43" applyFill="1" applyBorder="1" applyAlignment="1" quotePrefix="1">
      <alignment horizontal="left" vertical="top" wrapText="1"/>
      <protection/>
    </xf>
    <xf numFmtId="0" fontId="30" fillId="0" borderId="26" xfId="37" applyFill="1" applyBorder="1" applyAlignment="1" quotePrefix="1">
      <alignment horizontal="left" vertical="top" wrapText="1"/>
      <protection/>
    </xf>
    <xf numFmtId="0" fontId="30" fillId="0" borderId="27" xfId="37" applyFill="1" applyBorder="1" applyAlignment="1" quotePrefix="1">
      <alignment horizontal="left" vertical="top" wrapText="1"/>
      <protection/>
    </xf>
    <xf numFmtId="0" fontId="29" fillId="0" borderId="17" xfId="40" applyFont="1" applyFill="1" applyBorder="1" applyAlignment="1" quotePrefix="1">
      <alignment horizontal="left" vertical="center" wrapText="1"/>
      <protection/>
    </xf>
    <xf numFmtId="0" fontId="39" fillId="0" borderId="15" xfId="0" applyFont="1" applyFill="1" applyBorder="1" applyAlignment="1">
      <alignment wrapText="1"/>
    </xf>
    <xf numFmtId="0" fontId="29" fillId="0" borderId="17" xfId="41" applyFill="1" applyBorder="1" applyAlignment="1" quotePrefix="1">
      <alignment horizontal="center" vertical="center" wrapText="1"/>
      <protection/>
    </xf>
    <xf numFmtId="0" fontId="29" fillId="0" borderId="15" xfId="41" applyFill="1" applyBorder="1" applyAlignment="1" quotePrefix="1">
      <alignment horizontal="center" vertical="center" wrapText="1"/>
      <protection/>
    </xf>
    <xf numFmtId="0" fontId="30" fillId="0" borderId="11" xfId="37" applyFont="1" applyFill="1" applyBorder="1" applyAlignment="1" quotePrefix="1">
      <alignment horizontal="left" vertical="top" wrapText="1"/>
      <protection/>
    </xf>
    <xf numFmtId="4" fontId="29" fillId="0" borderId="0" xfId="39" applyNumberFormat="1" applyFill="1" applyAlignment="1" quotePrefix="1">
      <alignment horizontal="right" vertical="top" wrapText="1"/>
      <protection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horizontal="center" wrapText="1"/>
    </xf>
    <xf numFmtId="0" fontId="30" fillId="0" borderId="18" xfId="37" applyFont="1" applyFill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%20&#1048;&#1058;&#1054;&#1043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lugi_ZhKT_zatraty_po_domam__version_1__Vosstanovlen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51">
          <cell r="J251">
            <v>5019.891178155766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484">
          <cell r="J484">
            <v>1304.1603838424317</v>
          </cell>
        </row>
        <row r="504">
          <cell r="J504">
            <v>1764.1201997957446</v>
          </cell>
        </row>
        <row r="514">
          <cell r="J514">
            <v>2278.2758957955502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90">
          <cell r="J290">
            <v>609.0492647362124</v>
          </cell>
        </row>
        <row r="333">
          <cell r="J333">
            <v>955.6761932821831</v>
          </cell>
        </row>
        <row r="988">
          <cell r="J988">
            <v>752.970178486447</v>
          </cell>
        </row>
        <row r="1042">
          <cell r="J1042">
            <v>82.93578079756352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6">
          <cell r="B66">
            <v>3811234.8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6">
          <cell r="C66">
            <v>3696897.756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974">
          <cell r="J974">
            <v>672.1700975325577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="110" zoomScaleNormal="110" workbookViewId="0" topLeftCell="A1">
      <selection activeCell="B14" sqref="B14:D14"/>
    </sheetView>
  </sheetViews>
  <sheetFormatPr defaultColWidth="9.140625" defaultRowHeight="15"/>
  <cols>
    <col min="1" max="1" width="0.85546875" style="11" customWidth="1"/>
    <col min="2" max="2" width="41.00390625" style="11" customWidth="1"/>
    <col min="3" max="3" width="29.57421875" style="11" customWidth="1"/>
    <col min="4" max="4" width="10.57421875" style="11" customWidth="1"/>
    <col min="5" max="5" width="12.421875" style="4" customWidth="1"/>
    <col min="6" max="6" width="0.71875" style="11" hidden="1" customWidth="1"/>
    <col min="7" max="7" width="2.00390625" style="11" customWidth="1"/>
    <col min="8" max="8" width="12.00390625" style="11" bestFit="1" customWidth="1"/>
    <col min="9" max="9" width="11.7109375" style="11" bestFit="1" customWidth="1"/>
    <col min="10" max="16384" width="9.140625" style="11" customWidth="1"/>
  </cols>
  <sheetData>
    <row r="1" spans="1:5" ht="24" customHeight="1">
      <c r="A1" s="31" t="s">
        <v>45</v>
      </c>
      <c r="B1" s="31"/>
      <c r="C1" s="31"/>
      <c r="D1" s="31"/>
      <c r="E1" s="31"/>
    </row>
    <row r="2" ht="12" customHeight="1">
      <c r="B2" s="14" t="s">
        <v>0</v>
      </c>
    </row>
    <row r="3" spans="2:12" ht="21" customHeight="1">
      <c r="B3" s="56" t="s">
        <v>1</v>
      </c>
      <c r="C3" s="57"/>
      <c r="D3" s="57"/>
      <c r="E3" s="15" t="s">
        <v>64</v>
      </c>
      <c r="H3" s="61" t="s">
        <v>60</v>
      </c>
      <c r="I3" s="61"/>
      <c r="J3" s="61"/>
      <c r="K3" s="61"/>
      <c r="L3" s="61"/>
    </row>
    <row r="4" spans="2:12" ht="15" customHeight="1" thickBot="1">
      <c r="B4" s="54" t="s">
        <v>30</v>
      </c>
      <c r="C4" s="55"/>
      <c r="D4" s="55"/>
      <c r="E4" s="55"/>
      <c r="H4" s="5" t="s">
        <v>18</v>
      </c>
      <c r="I4" s="5" t="s">
        <v>61</v>
      </c>
      <c r="J4" s="5" t="s">
        <v>38</v>
      </c>
      <c r="K4" s="5" t="s">
        <v>62</v>
      </c>
      <c r="L4" s="5" t="s">
        <v>63</v>
      </c>
    </row>
    <row r="5" spans="2:12" ht="12" customHeight="1" hidden="1" thickBot="1">
      <c r="B5" s="35" t="s">
        <v>17</v>
      </c>
      <c r="C5" s="36"/>
      <c r="D5" s="36"/>
      <c r="E5" s="12"/>
      <c r="H5" s="16" t="s">
        <v>18</v>
      </c>
      <c r="I5" s="16" t="s">
        <v>19</v>
      </c>
      <c r="J5" s="16" t="s">
        <v>20</v>
      </c>
      <c r="K5" s="16" t="s">
        <v>21</v>
      </c>
      <c r="L5" s="17" t="s">
        <v>22</v>
      </c>
    </row>
    <row r="6" spans="2:12" ht="26.25" customHeight="1" thickBot="1">
      <c r="B6" s="35" t="s">
        <v>31</v>
      </c>
      <c r="C6" s="36"/>
      <c r="D6" s="36"/>
      <c r="E6" s="12">
        <f>2.05*J6*12+J6*2*2.05+2.05*4*J6*2</f>
        <v>139151.53999999998</v>
      </c>
      <c r="H6" s="1">
        <v>359</v>
      </c>
      <c r="I6" s="1">
        <v>20090.5</v>
      </c>
      <c r="J6" s="1">
        <v>3085.4</v>
      </c>
      <c r="K6" s="1">
        <f>J6</f>
        <v>3085.4</v>
      </c>
      <c r="L6" s="2">
        <v>128</v>
      </c>
    </row>
    <row r="7" spans="2:5" ht="36" customHeight="1">
      <c r="B7" s="35" t="s">
        <v>23</v>
      </c>
      <c r="C7" s="36"/>
      <c r="D7" s="36"/>
      <c r="E7" s="12">
        <f>(I6*2.05*2)</f>
        <v>82371.04999999999</v>
      </c>
    </row>
    <row r="8" spans="2:5" ht="12" customHeight="1">
      <c r="B8" s="35" t="s">
        <v>24</v>
      </c>
      <c r="C8" s="36"/>
      <c r="D8" s="36"/>
      <c r="E8" s="12">
        <f>I6*2.05*2</f>
        <v>82371.04999999999</v>
      </c>
    </row>
    <row r="9" spans="2:5" ht="12" customHeight="1" hidden="1">
      <c r="B9" s="35" t="s">
        <v>25</v>
      </c>
      <c r="C9" s="36"/>
      <c r="D9" s="36"/>
      <c r="E9" s="12"/>
    </row>
    <row r="10" spans="2:5" ht="27" customHeight="1">
      <c r="B10" s="35" t="s">
        <v>26</v>
      </c>
      <c r="C10" s="36"/>
      <c r="D10" s="36"/>
      <c r="E10" s="12">
        <f>(3*121.53*2*I6/1000)*3</f>
        <v>43948.77237</v>
      </c>
    </row>
    <row r="11" spans="2:5" ht="15">
      <c r="B11" s="35" t="s">
        <v>8</v>
      </c>
      <c r="C11" s="36"/>
      <c r="D11" s="36"/>
      <c r="E11" s="12">
        <f>12*I6*0.83</f>
        <v>200101.38</v>
      </c>
    </row>
    <row r="12" spans="2:5" ht="12" customHeight="1">
      <c r="B12" s="35" t="s">
        <v>10</v>
      </c>
      <c r="C12" s="36"/>
      <c r="D12" s="36"/>
      <c r="E12" s="12">
        <f>12*I6*6.05</f>
        <v>1458570.3</v>
      </c>
    </row>
    <row r="13" spans="2:5" ht="12" customHeight="1">
      <c r="B13" s="35" t="s">
        <v>11</v>
      </c>
      <c r="C13" s="36"/>
      <c r="D13" s="36"/>
      <c r="E13" s="12">
        <f>1*L6*286.7*2</f>
        <v>73395.2</v>
      </c>
    </row>
    <row r="14" spans="2:5" ht="12" customHeight="1">
      <c r="B14" s="35" t="s">
        <v>9</v>
      </c>
      <c r="C14" s="36"/>
      <c r="D14" s="36"/>
      <c r="E14" s="12">
        <f>12*I6*0.54</f>
        <v>130186.44</v>
      </c>
    </row>
    <row r="15" spans="2:5" ht="12" customHeight="1">
      <c r="B15" s="52" t="s">
        <v>13</v>
      </c>
      <c r="C15" s="53"/>
      <c r="D15" s="53"/>
      <c r="E15" s="12">
        <v>140000</v>
      </c>
    </row>
    <row r="16" spans="2:5" ht="6" customHeight="1">
      <c r="B16" s="48" t="s">
        <v>12</v>
      </c>
      <c r="C16" s="49"/>
      <c r="D16" s="49"/>
      <c r="E16" s="47">
        <f>12*I6*0.65</f>
        <v>156705.9</v>
      </c>
    </row>
    <row r="17" spans="2:5" ht="6" customHeight="1">
      <c r="B17" s="50"/>
      <c r="C17" s="51"/>
      <c r="D17" s="51"/>
      <c r="E17" s="47"/>
    </row>
    <row r="18" spans="2:5" ht="6" customHeight="1">
      <c r="B18" s="48" t="s">
        <v>27</v>
      </c>
      <c r="C18" s="49"/>
      <c r="D18" s="49"/>
      <c r="E18" s="47">
        <f>12*I6*1.67</f>
        <v>402613.62</v>
      </c>
    </row>
    <row r="19" spans="2:5" ht="6" customHeight="1">
      <c r="B19" s="50"/>
      <c r="C19" s="51"/>
      <c r="D19" s="51"/>
      <c r="E19" s="47"/>
    </row>
    <row r="20" spans="2:5" ht="12" customHeight="1">
      <c r="B20" s="27" t="s">
        <v>77</v>
      </c>
      <c r="C20" s="28"/>
      <c r="D20" s="28"/>
      <c r="E20" s="6">
        <f>223.42*27</f>
        <v>6032.339999999999</v>
      </c>
    </row>
    <row r="21" spans="2:5" s="9" customFormat="1" ht="12" customHeight="1">
      <c r="B21" s="33" t="s">
        <v>37</v>
      </c>
      <c r="C21" s="34"/>
      <c r="D21" s="34"/>
      <c r="E21" s="10">
        <f>2100*2</f>
        <v>4200</v>
      </c>
    </row>
    <row r="22" spans="2:5" s="9" customFormat="1" ht="12" customHeight="1">
      <c r="B22" s="33" t="s">
        <v>41</v>
      </c>
      <c r="C22" s="34"/>
      <c r="D22" s="34"/>
      <c r="E22" s="10">
        <f>25400*4+12560</f>
        <v>114160</v>
      </c>
    </row>
    <row r="23" spans="2:5" ht="12" customHeight="1">
      <c r="B23" s="37" t="s">
        <v>32</v>
      </c>
      <c r="C23" s="38"/>
      <c r="D23" s="38"/>
      <c r="E23" s="12">
        <f>12*I6*0.37</f>
        <v>89201.81999999999</v>
      </c>
    </row>
    <row r="24" spans="2:5" ht="12" customHeight="1">
      <c r="B24" s="37" t="s">
        <v>33</v>
      </c>
      <c r="C24" s="38"/>
      <c r="D24" s="38"/>
      <c r="E24" s="12">
        <f>H6*2*90%*2*137.35*0.38</f>
        <v>67454.2332</v>
      </c>
    </row>
    <row r="25" spans="2:5" ht="12" customHeight="1">
      <c r="B25" s="37" t="s">
        <v>34</v>
      </c>
      <c r="C25" s="38"/>
      <c r="D25" s="38"/>
      <c r="E25" s="12">
        <f>H6*90%*2*137.35*0.38</f>
        <v>33727.1166</v>
      </c>
    </row>
    <row r="26" spans="2:5" ht="12" customHeight="1">
      <c r="B26" s="41" t="s">
        <v>28</v>
      </c>
      <c r="C26" s="36"/>
      <c r="D26" s="36"/>
      <c r="E26" s="3">
        <v>71165.7</v>
      </c>
    </row>
    <row r="27" spans="2:5" ht="12" customHeight="1">
      <c r="B27" s="41" t="s">
        <v>29</v>
      </c>
      <c r="C27" s="36"/>
      <c r="D27" s="36"/>
      <c r="E27" s="12">
        <f>20000</f>
        <v>20000</v>
      </c>
    </row>
    <row r="28" spans="2:5" ht="12" customHeight="1">
      <c r="B28" s="35" t="s">
        <v>35</v>
      </c>
      <c r="C28" s="36"/>
      <c r="D28" s="36"/>
      <c r="E28" s="3">
        <f>68.68*92</f>
        <v>6318.56</v>
      </c>
    </row>
    <row r="29" spans="2:5" ht="12" customHeight="1">
      <c r="B29" s="35" t="s">
        <v>2</v>
      </c>
      <c r="C29" s="36"/>
      <c r="D29" s="36"/>
      <c r="E29" s="3">
        <f>68.68*170</f>
        <v>11675.6</v>
      </c>
    </row>
    <row r="30" spans="2:5" ht="12" customHeight="1">
      <c r="B30" s="35" t="s">
        <v>36</v>
      </c>
      <c r="C30" s="36"/>
      <c r="D30" s="36"/>
      <c r="E30" s="3">
        <f>68.68*87</f>
        <v>5975.160000000001</v>
      </c>
    </row>
    <row r="31" spans="2:5" s="24" customFormat="1" ht="12" customHeight="1">
      <c r="B31" s="43" t="s">
        <v>52</v>
      </c>
      <c r="C31" s="44"/>
      <c r="D31" s="44"/>
      <c r="E31" s="8">
        <f>4*'[2]на июль 15г'!$J$1042</f>
        <v>331.7431231902541</v>
      </c>
    </row>
    <row r="32" spans="2:5" s="24" customFormat="1" ht="12" customHeight="1">
      <c r="B32" s="26" t="s">
        <v>51</v>
      </c>
      <c r="C32" s="26"/>
      <c r="D32" s="26"/>
      <c r="E32" s="6">
        <f>112.6*5</f>
        <v>563</v>
      </c>
    </row>
    <row r="33" spans="2:5" s="24" customFormat="1" ht="12" customHeight="1">
      <c r="B33" s="43" t="s">
        <v>71</v>
      </c>
      <c r="C33" s="44"/>
      <c r="D33" s="44"/>
      <c r="E33" s="8">
        <f>'[2]на июль 15г'!$J$988*10</f>
        <v>7529.70178486447</v>
      </c>
    </row>
    <row r="34" spans="2:5" s="24" customFormat="1" ht="14.25" customHeight="1">
      <c r="B34" s="58" t="s">
        <v>70</v>
      </c>
      <c r="C34" s="58"/>
      <c r="D34" s="62"/>
      <c r="E34" s="8">
        <f>'[2]на июль 15г'!$J$290*3+'[6]на июль 15г'!$J$974*2</f>
        <v>3171.4879892737526</v>
      </c>
    </row>
    <row r="35" spans="2:5" s="24" customFormat="1" ht="14.25" customHeight="1">
      <c r="B35" s="39" t="s">
        <v>83</v>
      </c>
      <c r="C35" s="40"/>
      <c r="D35" s="40"/>
      <c r="E35" s="7">
        <v>214.6</v>
      </c>
    </row>
    <row r="36" spans="2:5" s="24" customFormat="1" ht="14.25" customHeight="1">
      <c r="B36" s="39" t="s">
        <v>78</v>
      </c>
      <c r="C36" s="40"/>
      <c r="D36" s="40"/>
      <c r="E36" s="7">
        <f>880*9</f>
        <v>7920</v>
      </c>
    </row>
    <row r="37" spans="2:5" s="24" customFormat="1" ht="12" customHeight="1">
      <c r="B37" s="26" t="s">
        <v>79</v>
      </c>
      <c r="C37" s="26"/>
      <c r="D37" s="26"/>
      <c r="E37" s="8">
        <f>'[2]на июль 15г'!$J$333*4</f>
        <v>3822.7047731287325</v>
      </c>
    </row>
    <row r="38" spans="2:5" s="24" customFormat="1" ht="12.75" customHeight="1">
      <c r="B38" s="26" t="s">
        <v>50</v>
      </c>
      <c r="C38" s="26"/>
      <c r="D38" s="26"/>
      <c r="E38" s="7">
        <f>31*'[5]на июль 15г'!$J$1057</f>
        <v>3548.972404724469</v>
      </c>
    </row>
    <row r="39" spans="2:5" s="24" customFormat="1" ht="12" customHeight="1">
      <c r="B39" s="27" t="s">
        <v>69</v>
      </c>
      <c r="C39" s="28"/>
      <c r="D39" s="28"/>
      <c r="E39" s="8">
        <f>7*'[1]на июль 15г'!$J$277</f>
        <v>5848.500845153487</v>
      </c>
    </row>
    <row r="40" spans="2:5" s="24" customFormat="1" ht="12" customHeight="1">
      <c r="B40" s="27" t="s">
        <v>49</v>
      </c>
      <c r="C40" s="28"/>
      <c r="D40" s="28"/>
      <c r="E40" s="8">
        <f>11*'[1]на июль 15г'!$J$251</f>
        <v>55218.80295971343</v>
      </c>
    </row>
    <row r="41" spans="2:5" s="24" customFormat="1" ht="14.25" customHeight="1">
      <c r="B41" s="26" t="s">
        <v>74</v>
      </c>
      <c r="C41" s="26"/>
      <c r="D41" s="26"/>
      <c r="E41" s="8">
        <f>50.89*20</f>
        <v>1017.8</v>
      </c>
    </row>
    <row r="42" spans="2:5" s="24" customFormat="1" ht="15" customHeight="1">
      <c r="B42" s="32" t="s">
        <v>75</v>
      </c>
      <c r="C42" s="28"/>
      <c r="D42" s="28"/>
      <c r="E42" s="7">
        <f>212*'[1]на июль 15г'!$J$198</f>
        <v>34875.70538047345</v>
      </c>
    </row>
    <row r="43" spans="2:5" s="24" customFormat="1" ht="12" customHeight="1">
      <c r="B43" s="27" t="s">
        <v>39</v>
      </c>
      <c r="C43" s="28"/>
      <c r="D43" s="28"/>
      <c r="E43" s="8">
        <f>81*'[1]на июль 15г'!$J$323</f>
        <v>8098.015080833482</v>
      </c>
    </row>
    <row r="44" spans="2:5" s="24" customFormat="1" ht="14.25" customHeight="1">
      <c r="B44" s="39" t="s">
        <v>68</v>
      </c>
      <c r="C44" s="40"/>
      <c r="D44" s="40"/>
      <c r="E44" s="7">
        <f>44*'[1]на июль 15г'!$J$211</f>
        <v>2534.8413873047252</v>
      </c>
    </row>
    <row r="45" spans="2:5" s="24" customFormat="1" ht="12" customHeight="1">
      <c r="B45" s="27" t="s">
        <v>5</v>
      </c>
      <c r="C45" s="28"/>
      <c r="D45" s="28"/>
      <c r="E45" s="7">
        <f>322*'[1]на июль 15г'!$J$211</f>
        <v>18550.43015254822</v>
      </c>
    </row>
    <row r="46" spans="2:5" s="24" customFormat="1" ht="12" customHeight="1">
      <c r="B46" s="42" t="s">
        <v>4</v>
      </c>
      <c r="C46" s="40"/>
      <c r="D46" s="40"/>
      <c r="E46" s="8">
        <f>8*'[1]на июль 15г'!$J$264</f>
        <v>567.1545740990866</v>
      </c>
    </row>
    <row r="47" spans="2:5" ht="15" customHeight="1">
      <c r="B47" s="26" t="s">
        <v>47</v>
      </c>
      <c r="C47" s="26"/>
      <c r="D47" s="26"/>
      <c r="E47" s="8">
        <f>2.5*'[1]на июль 15г'!$J$565</f>
        <v>1271.4625358365959</v>
      </c>
    </row>
    <row r="48" spans="2:5" ht="12" customHeight="1">
      <c r="B48" s="45" t="s">
        <v>46</v>
      </c>
      <c r="C48" s="46"/>
      <c r="D48" s="46"/>
      <c r="E48" s="8">
        <f>2.5*'[1]на июль 15г'!$J$535</f>
        <v>991.7987597519756</v>
      </c>
    </row>
    <row r="49" spans="2:5" ht="12" customHeight="1">
      <c r="B49" s="32" t="s">
        <v>15</v>
      </c>
      <c r="C49" s="28"/>
      <c r="D49" s="28"/>
      <c r="E49" s="8">
        <f>2*'[1]на июль 15г'!$J$434</f>
        <v>1224.7278445285513</v>
      </c>
    </row>
    <row r="50" spans="2:5" ht="12" customHeight="1">
      <c r="B50" s="32" t="s">
        <v>7</v>
      </c>
      <c r="C50" s="28"/>
      <c r="D50" s="28"/>
      <c r="E50" s="8">
        <f>16*'[1]на июль 15г'!$J$444</f>
        <v>10953.853143719984</v>
      </c>
    </row>
    <row r="51" spans="2:5" ht="15">
      <c r="B51" s="32" t="s">
        <v>3</v>
      </c>
      <c r="C51" s="28"/>
      <c r="D51" s="28"/>
      <c r="E51" s="8">
        <f>4*'[1]на июль 15г'!$J$454</f>
        <v>3455.707551556474</v>
      </c>
    </row>
    <row r="52" spans="2:5" ht="12" customHeight="1">
      <c r="B52" s="32" t="s">
        <v>14</v>
      </c>
      <c r="C52" s="28"/>
      <c r="D52" s="28"/>
      <c r="E52" s="8">
        <f>8*'[1]на июль 15г'!$J$484</f>
        <v>10433.283070739453</v>
      </c>
    </row>
    <row r="53" spans="2:5" ht="12" customHeight="1">
      <c r="B53" s="32" t="s">
        <v>48</v>
      </c>
      <c r="C53" s="28"/>
      <c r="D53" s="28"/>
      <c r="E53" s="8">
        <f>2*'[1]на июль 15г'!$J$504</f>
        <v>3528.240399591489</v>
      </c>
    </row>
    <row r="54" spans="2:5" ht="12" customHeight="1">
      <c r="B54" s="32" t="s">
        <v>16</v>
      </c>
      <c r="C54" s="28"/>
      <c r="D54" s="28"/>
      <c r="E54" s="8">
        <f>2*'[1]на июль 15г'!$J$504</f>
        <v>3528.240399591489</v>
      </c>
    </row>
    <row r="55" spans="2:5" ht="12" customHeight="1">
      <c r="B55" s="32" t="s">
        <v>40</v>
      </c>
      <c r="C55" s="28"/>
      <c r="D55" s="28"/>
      <c r="E55" s="8">
        <f>12*'[1]на июль 15г'!$J$514</f>
        <v>27339.310749546603</v>
      </c>
    </row>
    <row r="56" spans="2:5" ht="12" customHeight="1">
      <c r="B56" s="27" t="s">
        <v>43</v>
      </c>
      <c r="C56" s="28"/>
      <c r="D56" s="28"/>
      <c r="E56" s="6">
        <v>745.69</v>
      </c>
    </row>
    <row r="57" spans="2:5" ht="12" customHeight="1">
      <c r="B57" s="27" t="s">
        <v>76</v>
      </c>
      <c r="C57" s="28"/>
      <c r="D57" s="28"/>
      <c r="E57" s="6">
        <f>529.67</f>
        <v>529.67</v>
      </c>
    </row>
    <row r="58" spans="2:5" ht="12" customHeight="1">
      <c r="B58" s="26" t="s">
        <v>53</v>
      </c>
      <c r="C58" s="26"/>
      <c r="D58" s="26"/>
      <c r="E58" s="7">
        <f>1540.6</f>
        <v>1540.6</v>
      </c>
    </row>
    <row r="59" spans="2:5" ht="12" customHeight="1">
      <c r="B59" s="26" t="s">
        <v>54</v>
      </c>
      <c r="C59" s="26"/>
      <c r="D59" s="26"/>
      <c r="E59" s="6">
        <v>2885</v>
      </c>
    </row>
    <row r="60" spans="2:5" ht="13.5" customHeight="1">
      <c r="B60" s="43" t="s">
        <v>44</v>
      </c>
      <c r="C60" s="44"/>
      <c r="D60" s="44"/>
      <c r="E60" s="13">
        <f>6456.52</f>
        <v>6456.52</v>
      </c>
    </row>
    <row r="61" spans="2:5" ht="12" customHeight="1">
      <c r="B61" s="32" t="s">
        <v>55</v>
      </c>
      <c r="C61" s="28"/>
      <c r="D61" s="28"/>
      <c r="E61" s="6">
        <v>4435</v>
      </c>
    </row>
    <row r="62" spans="2:5" ht="12" customHeight="1">
      <c r="B62" s="27" t="s">
        <v>56</v>
      </c>
      <c r="C62" s="28"/>
      <c r="D62" s="28"/>
      <c r="E62" s="6">
        <v>667.67</v>
      </c>
    </row>
    <row r="63" spans="2:5" ht="26.25" customHeight="1">
      <c r="B63" s="43" t="s">
        <v>82</v>
      </c>
      <c r="C63" s="44"/>
      <c r="D63" s="44"/>
      <c r="E63" s="13">
        <v>24855.72</v>
      </c>
    </row>
    <row r="64" spans="2:5" ht="12" customHeight="1">
      <c r="B64" s="26" t="s">
        <v>72</v>
      </c>
      <c r="C64" s="26"/>
      <c r="D64" s="26"/>
      <c r="E64" s="6">
        <v>1297.41</v>
      </c>
    </row>
    <row r="65" spans="2:5" ht="12" customHeight="1">
      <c r="B65" s="58" t="s">
        <v>58</v>
      </c>
      <c r="C65" s="58"/>
      <c r="D65" s="58"/>
      <c r="E65" s="6">
        <v>2804.99</v>
      </c>
    </row>
    <row r="66" spans="2:5" ht="12" customHeight="1">
      <c r="B66" s="27" t="s">
        <v>81</v>
      </c>
      <c r="C66" s="28"/>
      <c r="D66" s="28"/>
      <c r="E66" s="25">
        <f>36*1888+12*1888+1888*12</f>
        <v>113280</v>
      </c>
    </row>
    <row r="67" spans="2:5" ht="12" customHeight="1">
      <c r="B67" s="26" t="s">
        <v>65</v>
      </c>
      <c r="C67" s="26"/>
      <c r="D67" s="26"/>
      <c r="E67" s="6">
        <v>119820.36</v>
      </c>
    </row>
    <row r="68" spans="2:5" ht="12" customHeight="1">
      <c r="B68" s="26" t="s">
        <v>66</v>
      </c>
      <c r="C68" s="26"/>
      <c r="D68" s="26"/>
      <c r="E68" s="6">
        <v>20560.68</v>
      </c>
    </row>
    <row r="69" spans="2:5" ht="12" customHeight="1">
      <c r="B69" s="26" t="s">
        <v>73</v>
      </c>
      <c r="C69" s="26"/>
      <c r="D69" s="26"/>
      <c r="E69" s="6">
        <v>1424.75</v>
      </c>
    </row>
    <row r="70" spans="2:5" ht="12" customHeight="1">
      <c r="B70" s="32" t="s">
        <v>59</v>
      </c>
      <c r="C70" s="28"/>
      <c r="D70" s="28"/>
      <c r="E70" s="6">
        <v>5481.35</v>
      </c>
    </row>
    <row r="71" spans="2:5" ht="12" customHeight="1">
      <c r="B71" s="26" t="s">
        <v>67</v>
      </c>
      <c r="C71" s="26"/>
      <c r="D71" s="26"/>
      <c r="E71" s="7">
        <f>509*4</f>
        <v>2036</v>
      </c>
    </row>
    <row r="72" spans="2:5" ht="12" customHeight="1">
      <c r="B72" s="26" t="s">
        <v>80</v>
      </c>
      <c r="C72" s="26"/>
      <c r="D72" s="26"/>
      <c r="E72" s="6">
        <v>7795</v>
      </c>
    </row>
    <row r="73" spans="2:5" ht="12" customHeight="1">
      <c r="B73" s="18"/>
      <c r="C73" s="18"/>
      <c r="D73" s="18"/>
      <c r="E73" s="19">
        <f>SUM(E5:E72)</f>
        <v>3872482.2770801713</v>
      </c>
    </row>
    <row r="74" spans="3:5" ht="12" customHeight="1">
      <c r="C74" s="20" t="s">
        <v>42</v>
      </c>
      <c r="D74" s="29">
        <f>'[3]Лист1'!$B$66</f>
        <v>3811234.8</v>
      </c>
      <c r="E74" s="30"/>
    </row>
    <row r="75" spans="3:9" ht="12" customHeight="1">
      <c r="C75" s="20" t="s">
        <v>6</v>
      </c>
      <c r="D75" s="59">
        <f>'[4]Лист1'!$C$66</f>
        <v>3696897.756</v>
      </c>
      <c r="E75" s="60"/>
      <c r="I75" s="22"/>
    </row>
    <row r="76" spans="3:5" ht="12" customHeight="1">
      <c r="C76" s="20" t="s">
        <v>57</v>
      </c>
      <c r="D76" s="21"/>
      <c r="E76" s="23">
        <f>E73</f>
        <v>3872482.2770801713</v>
      </c>
    </row>
  </sheetData>
  <sheetProtection password="CCF3" sheet="1" objects="1" scenarios="1" selectLockedCells="1" selectUnlockedCells="1"/>
  <mergeCells count="74">
    <mergeCell ref="B26:D26"/>
    <mergeCell ref="B34:D34"/>
    <mergeCell ref="B45:D45"/>
    <mergeCell ref="B44:D44"/>
    <mergeCell ref="B35:D35"/>
    <mergeCell ref="B41:D41"/>
    <mergeCell ref="B32:D32"/>
    <mergeCell ref="D75:E75"/>
    <mergeCell ref="H3:L3"/>
    <mergeCell ref="B63:D63"/>
    <mergeCell ref="B50:D50"/>
    <mergeCell ref="B60:D60"/>
    <mergeCell ref="B58:D58"/>
    <mergeCell ref="B66:D66"/>
    <mergeCell ref="B20:D20"/>
    <mergeCell ref="B38:D38"/>
    <mergeCell ref="B42:D42"/>
    <mergeCell ref="B4:E4"/>
    <mergeCell ref="B3:D3"/>
    <mergeCell ref="B10:D10"/>
    <mergeCell ref="B8:D8"/>
    <mergeCell ref="B6:D6"/>
    <mergeCell ref="B5:D5"/>
    <mergeCell ref="B15:D15"/>
    <mergeCell ref="B7:D7"/>
    <mergeCell ref="B12:D12"/>
    <mergeCell ref="B9:D9"/>
    <mergeCell ref="B13:D13"/>
    <mergeCell ref="B11:D11"/>
    <mergeCell ref="E16:E17"/>
    <mergeCell ref="B18:D19"/>
    <mergeCell ref="E18:E19"/>
    <mergeCell ref="B16:D17"/>
    <mergeCell ref="B24:D24"/>
    <mergeCell ref="B22:D22"/>
    <mergeCell ref="B23:D23"/>
    <mergeCell ref="B14:D14"/>
    <mergeCell ref="B54:D54"/>
    <mergeCell ref="B46:D46"/>
    <mergeCell ref="B47:D47"/>
    <mergeCell ref="B70:D70"/>
    <mergeCell ref="B28:D28"/>
    <mergeCell ref="B29:D29"/>
    <mergeCell ref="B43:D43"/>
    <mergeCell ref="B33:D33"/>
    <mergeCell ref="B27:D27"/>
    <mergeCell ref="B59:D59"/>
    <mergeCell ref="B56:D56"/>
    <mergeCell ref="B61:D61"/>
    <mergeCell ref="B72:D72"/>
    <mergeCell ref="B51:D51"/>
    <mergeCell ref="B37:D37"/>
    <mergeCell ref="B31:D31"/>
    <mergeCell ref="B48:D48"/>
    <mergeCell ref="B65:D65"/>
    <mergeCell ref="A1:E1"/>
    <mergeCell ref="B67:D67"/>
    <mergeCell ref="B68:D68"/>
    <mergeCell ref="B52:D52"/>
    <mergeCell ref="B40:D40"/>
    <mergeCell ref="B53:D53"/>
    <mergeCell ref="B21:D21"/>
    <mergeCell ref="B30:D30"/>
    <mergeCell ref="B25:D25"/>
    <mergeCell ref="B36:D36"/>
    <mergeCell ref="B69:D69"/>
    <mergeCell ref="B71:D71"/>
    <mergeCell ref="B57:D57"/>
    <mergeCell ref="B39:D39"/>
    <mergeCell ref="D74:E74"/>
    <mergeCell ref="B62:D62"/>
    <mergeCell ref="B64:D64"/>
    <mergeCell ref="B49:D49"/>
    <mergeCell ref="B55:D55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2020-03-27T03:10:27Z</dcterms:modified>
  <cp:category/>
  <cp:version/>
  <cp:contentType/>
  <cp:contentStatus/>
</cp:coreProperties>
</file>